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6.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7.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theme/themeOverride2.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20.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21.xml" ContentType="application/vnd.openxmlformats-officedocument.drawing+xml"/>
  <Override PartName="/xl/ctrlProps/ctrlProp72.xml" ContentType="application/vnd.ms-excel.controlproperties+xml"/>
  <Override PartName="/xl/drawings/drawing2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theme/themeOverride3.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drawings/drawing24.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theme/themeOverride4.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30.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https://curtin-my.sharepoint.com/personal/229746i_curtin_edu_au/Documents/iDrive/ACCT1002/zzBusinessSimulationExcel/"/>
    </mc:Choice>
  </mc:AlternateContent>
  <xr:revisionPtr revIDLastSave="41" documentId="8_{1449C34E-C136-4B14-9A71-354C950C9AD7}" xr6:coauthVersionLast="47" xr6:coauthVersionMax="47" xr10:uidLastSave="{2B7F4B9A-C0CE-4C46-BDAF-4695AE4BD474}"/>
  <bookViews>
    <workbookView xWindow="-120" yWindow="-120" windowWidth="38640" windowHeight="21120" tabRatio="879" xr2:uid="{00000000-000D-0000-FFFF-FFFF00000000}"/>
  </bookViews>
  <sheets>
    <sheet name="Student Details I" sheetId="8" r:id="rId1"/>
    <sheet name="Student Details II" sheetId="19" r:id="rId2"/>
    <sheet name="Business Setup" sheetId="9" r:id="rId3"/>
    <sheet name="Business Decisions" sheetId="11" r:id="rId4"/>
    <sheet name="Advertising" sheetId="47" r:id="rId5"/>
    <sheet name="Capital Investments" sheetId="21" r:id="rId6"/>
    <sheet name="Financing" sheetId="15" r:id="rId7"/>
    <sheet name="2019 6-mth Cash Budget" sheetId="2" r:id="rId8"/>
    <sheet name="Diversification" sheetId="17" r:id="rId9"/>
    <sheet name="2019 Sales Data" sheetId="42" r:id="rId10"/>
    <sheet name="2019 Schedule of AC" sheetId="40" r:id="rId11"/>
    <sheet name="2019 Full Cash Budget" sheetId="16" r:id="rId12"/>
    <sheet name="2019 Inventory Rpt" sheetId="18" r:id="rId13"/>
    <sheet name="2019 Inc Statement" sheetId="3" r:id="rId14"/>
    <sheet name="2019 Bal Sheet" sheetId="13" r:id="rId15"/>
    <sheet name="2019 Ratio Analysis" sheetId="4" r:id="rId16"/>
    <sheet name="2020 6mth Forecast" sheetId="25" r:id="rId17"/>
    <sheet name="COVID-19" sheetId="26" r:id="rId18"/>
    <sheet name="Deliveries" sheetId="27" r:id="rId19"/>
    <sheet name="Take Away" sheetId="29" r:id="rId20"/>
    <sheet name="Employment" sheetId="28" r:id="rId21"/>
    <sheet name="2020 6mth Cash Budget" sheetId="30" r:id="rId22"/>
    <sheet name="2020 6mth Inventory Rpt" sheetId="34" r:id="rId23"/>
    <sheet name="Easing Restrictions" sheetId="38" r:id="rId24"/>
    <sheet name="2020 Sales" sheetId="44" r:id="rId25"/>
    <sheet name="2020 Schedule of AC" sheetId="41" r:id="rId26"/>
    <sheet name="2020 Cash Budget" sheetId="39" r:id="rId27"/>
    <sheet name="2020 Inventory Rpt" sheetId="37" r:id="rId28"/>
    <sheet name="2020 Inc Statement" sheetId="32" r:id="rId29"/>
    <sheet name="2020 Bal Sheet" sheetId="33" r:id="rId30"/>
    <sheet name="2020 Ratio Analysis" sheetId="35" r:id="rId31"/>
    <sheet name="Ratio Student Answers" sheetId="46" r:id="rId32"/>
    <sheet name="(HIDE) Data Validation" sheetId="10" state="hidden" r:id="rId33"/>
  </sheets>
  <definedNames>
    <definedName name="_">'Business Setup'!$A$1</definedName>
    <definedName name="a">'Business Decisions'!$A$1</definedName>
    <definedName name="b">Diversification!$A$1</definedName>
    <definedName name="d">'2019 Full Cash Budget'!$A$1</definedName>
    <definedName name="e">'2019 Inc Statement'!$A$1</definedName>
    <definedName name="f">'2019 Bal Sheet'!$A$1</definedName>
    <definedName name="g">'2019 Ratio Analysis'!$A$2</definedName>
    <definedName name="h">'Take Away'!$A$1</definedName>
    <definedName name="i">'Easing Restrictions'!$A$1</definedName>
    <definedName name="j">'2020 Cash Budget'!$A$1</definedName>
    <definedName name="k">'2020 Inc Statement'!$A$1</definedName>
    <definedName name="l">'2020 Bal Sheet'!$A$1</definedName>
    <definedName name="m">'2020 Ratio Analysis'!$A$2</definedName>
    <definedName name="n">'Ratio Student Answers'!$A$1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1" i="10" l="1"/>
  <c r="G142" i="10"/>
  <c r="G143" i="10"/>
  <c r="G140" i="10"/>
  <c r="G135" i="10"/>
  <c r="H135" i="10" s="1"/>
  <c r="G136" i="10"/>
  <c r="G137" i="10"/>
  <c r="G138" i="10"/>
  <c r="G139" i="10"/>
  <c r="G134" i="10"/>
  <c r="G130" i="10"/>
  <c r="H130" i="10" s="1"/>
  <c r="G131" i="10"/>
  <c r="H131" i="10" s="1"/>
  <c r="G132" i="10"/>
  <c r="H132" i="10" s="1"/>
  <c r="G133" i="10"/>
  <c r="H133" i="10" s="1"/>
  <c r="G129" i="10"/>
  <c r="H129" i="10" s="1"/>
  <c r="C138" i="10"/>
  <c r="E138" i="10" s="1"/>
  <c r="D141" i="10"/>
  <c r="D142" i="10"/>
  <c r="D143" i="10"/>
  <c r="D140" i="10"/>
  <c r="D135" i="10"/>
  <c r="D136" i="10"/>
  <c r="D137" i="10"/>
  <c r="D138" i="10"/>
  <c r="D139" i="10"/>
  <c r="E139" i="10" s="1"/>
  <c r="D134" i="10"/>
  <c r="E134" i="10" s="1"/>
  <c r="D130" i="10"/>
  <c r="D131" i="10"/>
  <c r="D132" i="10"/>
  <c r="D133" i="10"/>
  <c r="D129" i="10"/>
  <c r="E129" i="10" s="1"/>
  <c r="B26" i="10"/>
  <c r="E130" i="10"/>
  <c r="E131" i="10"/>
  <c r="C143" i="10"/>
  <c r="C142" i="10"/>
  <c r="C141" i="10"/>
  <c r="C140" i="10"/>
  <c r="C139" i="10"/>
  <c r="C137" i="10"/>
  <c r="C136" i="10"/>
  <c r="C135" i="10"/>
  <c r="C134" i="10"/>
  <c r="C133" i="10"/>
  <c r="C132" i="10"/>
  <c r="C131" i="10"/>
  <c r="C130" i="10"/>
  <c r="C129" i="10"/>
  <c r="F143" i="10"/>
  <c r="F142" i="10"/>
  <c r="F141" i="10"/>
  <c r="F140" i="10"/>
  <c r="F139" i="10"/>
  <c r="F138" i="10"/>
  <c r="F137" i="10"/>
  <c r="F136" i="10"/>
  <c r="F135" i="10"/>
  <c r="F134" i="10"/>
  <c r="F133" i="10"/>
  <c r="E135" i="10" l="1"/>
  <c r="E141" i="10"/>
  <c r="E133" i="10"/>
  <c r="E136" i="10"/>
  <c r="E137" i="10"/>
  <c r="E140" i="10"/>
  <c r="E142" i="10"/>
  <c r="E143" i="10"/>
  <c r="E132" i="10"/>
  <c r="H134" i="10"/>
  <c r="H137" i="10"/>
  <c r="H138" i="10"/>
  <c r="H136" i="10"/>
  <c r="H139" i="10"/>
  <c r="H140" i="10"/>
  <c r="H143" i="10"/>
  <c r="H141" i="10"/>
  <c r="H142" i="10"/>
  <c r="H144" i="10" l="1"/>
  <c r="B2" i="15" l="1"/>
  <c r="B2" i="17"/>
  <c r="C19" i="10"/>
  <c r="D19" i="10" s="1"/>
  <c r="D112" i="10"/>
  <c r="J59" i="10"/>
  <c r="K61" i="10" s="1"/>
  <c r="D41" i="10"/>
  <c r="D42" i="10" s="1"/>
  <c r="D20" i="10"/>
  <c r="C21" i="10"/>
  <c r="D21" i="10" s="1"/>
  <c r="C28" i="10"/>
  <c r="D28" i="10" s="1"/>
  <c r="B21" i="15" s="1"/>
  <c r="C20" i="10"/>
  <c r="D116" i="10"/>
  <c r="D115" i="10"/>
  <c r="C116" i="10"/>
  <c r="C115" i="10"/>
  <c r="C114" i="10"/>
  <c r="D114" i="10" s="1"/>
  <c r="B47" i="47" s="1"/>
  <c r="C113" i="10"/>
  <c r="C112" i="10"/>
  <c r="D113" i="10" s="1"/>
  <c r="C111" i="10"/>
  <c r="C110" i="10"/>
  <c r="D111" i="10" s="1"/>
  <c r="D110" i="10" l="1"/>
  <c r="B25" i="47" s="1"/>
  <c r="B23" i="10"/>
  <c r="B29" i="10"/>
  <c r="B36" i="47"/>
  <c r="E2" i="10"/>
  <c r="E5" i="10" s="1"/>
  <c r="K2" i="10"/>
  <c r="K3" i="10" s="1"/>
  <c r="G2" i="10"/>
  <c r="G4" i="10" s="1"/>
  <c r="AH8" i="41"/>
  <c r="F7" i="11" l="1"/>
  <c r="E4" i="10"/>
  <c r="K5" i="10"/>
  <c r="B26" i="18"/>
  <c r="I31" i="18"/>
  <c r="C29" i="10" l="1"/>
  <c r="B20" i="15"/>
  <c r="E8" i="41"/>
  <c r="F8" i="41"/>
  <c r="G8" i="41"/>
  <c r="H8" i="41"/>
  <c r="I8" i="41"/>
  <c r="J8" i="41"/>
  <c r="K8" i="41"/>
  <c r="L8" i="41"/>
  <c r="M8" i="41"/>
  <c r="N8" i="41"/>
  <c r="O8" i="41"/>
  <c r="P8" i="41"/>
  <c r="Q8" i="41"/>
  <c r="F9" i="41"/>
  <c r="G9" i="41"/>
  <c r="H9" i="41"/>
  <c r="I9" i="41"/>
  <c r="J9" i="41"/>
  <c r="K9" i="41"/>
  <c r="L9" i="41"/>
  <c r="M9" i="41"/>
  <c r="N9" i="41"/>
  <c r="O9" i="41"/>
  <c r="P9" i="41"/>
  <c r="Q9" i="41"/>
  <c r="W8" i="41"/>
  <c r="X8" i="41"/>
  <c r="Y8" i="41"/>
  <c r="Z8" i="41"/>
  <c r="AA8" i="41"/>
  <c r="AB8" i="41"/>
  <c r="AC8" i="41"/>
  <c r="AD8" i="41"/>
  <c r="AE8" i="41"/>
  <c r="AF8" i="41"/>
  <c r="AG8" i="41"/>
  <c r="W9" i="41"/>
  <c r="X9" i="41"/>
  <c r="Y9" i="41"/>
  <c r="Z9" i="41"/>
  <c r="AA9" i="41"/>
  <c r="AB9" i="41"/>
  <c r="AC9" i="41"/>
  <c r="AD9" i="41"/>
  <c r="AE9" i="41"/>
  <c r="AF9" i="41"/>
  <c r="AG9" i="41"/>
  <c r="AH9" i="41"/>
  <c r="W33" i="41"/>
  <c r="X33" i="41"/>
  <c r="Y33" i="41"/>
  <c r="Z33" i="41"/>
  <c r="AA33" i="41"/>
  <c r="AB33" i="41"/>
  <c r="AC33" i="41"/>
  <c r="AD33" i="41"/>
  <c r="AE33" i="41"/>
  <c r="AF33" i="41"/>
  <c r="AG33" i="41"/>
  <c r="AH33" i="41"/>
  <c r="W34" i="41"/>
  <c r="X34" i="41"/>
  <c r="Y34" i="41"/>
  <c r="Z34" i="41"/>
  <c r="AA34" i="41"/>
  <c r="AB34" i="41"/>
  <c r="AC34" i="41"/>
  <c r="AD34" i="41"/>
  <c r="AE34" i="41"/>
  <c r="AF34" i="41"/>
  <c r="AG34" i="41"/>
  <c r="AH34" i="41"/>
  <c r="V33" i="41"/>
  <c r="V8" i="41"/>
  <c r="O13" i="39" l="1"/>
  <c r="G21" i="35" l="1"/>
  <c r="G20" i="35"/>
  <c r="G19" i="35"/>
  <c r="G18" i="35"/>
  <c r="G16" i="35"/>
  <c r="G15" i="35"/>
  <c r="G14" i="35"/>
  <c r="G13" i="35"/>
  <c r="G12" i="35"/>
  <c r="G11" i="35"/>
  <c r="G9" i="35"/>
  <c r="G8" i="35"/>
  <c r="G7" i="35"/>
  <c r="G6" i="35"/>
  <c r="G5" i="35"/>
  <c r="G21" i="4"/>
  <c r="G20" i="4"/>
  <c r="G19" i="4"/>
  <c r="G18" i="4"/>
  <c r="G16" i="4"/>
  <c r="G15" i="4"/>
  <c r="G14" i="4"/>
  <c r="G13" i="4"/>
  <c r="G12" i="4"/>
  <c r="G11" i="4"/>
  <c r="G9" i="4"/>
  <c r="G8" i="4"/>
  <c r="G7" i="4"/>
  <c r="G6" i="4"/>
  <c r="G5" i="4"/>
  <c r="B124" i="10" l="1"/>
  <c r="I109" i="10" s="1"/>
  <c r="X35" i="41"/>
  <c r="Y35" i="41"/>
  <c r="Z35" i="41"/>
  <c r="AA35" i="41"/>
  <c r="AB35" i="41"/>
  <c r="AC35" i="41"/>
  <c r="AD35" i="41"/>
  <c r="AE35" i="41"/>
  <c r="AF35" i="41"/>
  <c r="AG35" i="41"/>
  <c r="AH35" i="41"/>
  <c r="U36" i="41"/>
  <c r="Y36" i="41"/>
  <c r="Z36" i="41"/>
  <c r="AA36" i="41"/>
  <c r="AB36" i="41"/>
  <c r="AC36" i="41"/>
  <c r="AD36" i="41"/>
  <c r="AE36" i="41"/>
  <c r="AF36" i="41"/>
  <c r="AG36" i="41"/>
  <c r="AH36" i="41"/>
  <c r="U37" i="41"/>
  <c r="V37" i="41"/>
  <c r="Z37" i="41"/>
  <c r="AA37" i="41"/>
  <c r="AB37" i="41"/>
  <c r="AC37" i="41"/>
  <c r="AD37" i="41"/>
  <c r="AE37" i="41"/>
  <c r="AF37" i="41"/>
  <c r="AG37" i="41"/>
  <c r="AH37" i="41"/>
  <c r="U38" i="41"/>
  <c r="V38" i="41"/>
  <c r="W38" i="41"/>
  <c r="AA38" i="41"/>
  <c r="AB38" i="41"/>
  <c r="AC38" i="41"/>
  <c r="AD38" i="41"/>
  <c r="AE38" i="41"/>
  <c r="AF38" i="41"/>
  <c r="AG38" i="41"/>
  <c r="AH38" i="41"/>
  <c r="U39" i="41"/>
  <c r="V39" i="41"/>
  <c r="W39" i="41"/>
  <c r="X39" i="41"/>
  <c r="AB39" i="41"/>
  <c r="AC39" i="41"/>
  <c r="AD39" i="41"/>
  <c r="AE39" i="41"/>
  <c r="AF39" i="41"/>
  <c r="AG39" i="41"/>
  <c r="AH39" i="41"/>
  <c r="U40" i="41"/>
  <c r="V40" i="41"/>
  <c r="W40" i="41"/>
  <c r="X40" i="41"/>
  <c r="Y40" i="41"/>
  <c r="AC40" i="41"/>
  <c r="AD40" i="41"/>
  <c r="AE40" i="41"/>
  <c r="AF40" i="41"/>
  <c r="AG40" i="41"/>
  <c r="AH40" i="41"/>
  <c r="U41" i="41"/>
  <c r="V41" i="41"/>
  <c r="W41" i="41"/>
  <c r="X41" i="41"/>
  <c r="Y41" i="41"/>
  <c r="Z41" i="41"/>
  <c r="AD41" i="41"/>
  <c r="AE41" i="41"/>
  <c r="AF41" i="41"/>
  <c r="AG41" i="41"/>
  <c r="AH41" i="41"/>
  <c r="U42" i="41"/>
  <c r="V42" i="41"/>
  <c r="W42" i="41"/>
  <c r="X42" i="41"/>
  <c r="Y42" i="41"/>
  <c r="Z42" i="41"/>
  <c r="AA42" i="41"/>
  <c r="AE42" i="41"/>
  <c r="AF42" i="41"/>
  <c r="AG42" i="41"/>
  <c r="AH42" i="41"/>
  <c r="U43" i="41"/>
  <c r="V43" i="41"/>
  <c r="W43" i="41"/>
  <c r="X43" i="41"/>
  <c r="Y43" i="41"/>
  <c r="Z43" i="41"/>
  <c r="AA43" i="41"/>
  <c r="AB43" i="41"/>
  <c r="AF43" i="41"/>
  <c r="AG43" i="41"/>
  <c r="AH43" i="41"/>
  <c r="U44" i="41"/>
  <c r="V44" i="41"/>
  <c r="W44" i="41"/>
  <c r="X44" i="41"/>
  <c r="Y44" i="41"/>
  <c r="Z44" i="41"/>
  <c r="AA44" i="41"/>
  <c r="AB44" i="41"/>
  <c r="AC44" i="41"/>
  <c r="AG44" i="41"/>
  <c r="AH44" i="41"/>
  <c r="U45" i="41"/>
  <c r="V45" i="41"/>
  <c r="W45" i="41"/>
  <c r="X45" i="41"/>
  <c r="Y45" i="41"/>
  <c r="Z45" i="41"/>
  <c r="AA45" i="41"/>
  <c r="AB45" i="41"/>
  <c r="AC45" i="41"/>
  <c r="AD45" i="41"/>
  <c r="AH45" i="41"/>
  <c r="U46" i="41"/>
  <c r="V46" i="41"/>
  <c r="W46" i="41"/>
  <c r="X46" i="41"/>
  <c r="Y46" i="41"/>
  <c r="Z46" i="41"/>
  <c r="AA46" i="41"/>
  <c r="AB46" i="41"/>
  <c r="AC46" i="41"/>
  <c r="AD46" i="41"/>
  <c r="AE46" i="41"/>
  <c r="I59" i="47" l="1"/>
  <c r="I55" i="47"/>
  <c r="I50" i="47"/>
  <c r="I41" i="47"/>
  <c r="I36" i="47"/>
  <c r="I30" i="47"/>
  <c r="I25" i="47"/>
  <c r="I103" i="10"/>
  <c r="J103" i="10"/>
  <c r="B53" i="47"/>
  <c r="H103" i="10"/>
  <c r="F113" i="10"/>
  <c r="B39" i="47" s="1"/>
  <c r="H112" i="10"/>
  <c r="F111" i="10"/>
  <c r="K110" i="10" s="1"/>
  <c r="H110" i="10"/>
  <c r="G103" i="10"/>
  <c r="B41" i="47"/>
  <c r="E103" i="10"/>
  <c r="B30" i="47"/>
  <c r="C103" i="10"/>
  <c r="D103" i="10"/>
  <c r="B103" i="10"/>
  <c r="F3" i="46"/>
  <c r="F4" i="46"/>
  <c r="F5" i="46"/>
  <c r="F6" i="46"/>
  <c r="F7" i="46"/>
  <c r="F9" i="46"/>
  <c r="F10" i="46"/>
  <c r="F11" i="46"/>
  <c r="F12" i="46"/>
  <c r="F13" i="46"/>
  <c r="F14" i="46"/>
  <c r="F16" i="46"/>
  <c r="F17" i="46"/>
  <c r="F18" i="46"/>
  <c r="F19" i="46"/>
  <c r="D19" i="46"/>
  <c r="D4" i="46"/>
  <c r="D5" i="46"/>
  <c r="D6" i="46"/>
  <c r="D7" i="46"/>
  <c r="D9" i="46"/>
  <c r="D10" i="46"/>
  <c r="D11" i="46"/>
  <c r="D12" i="46"/>
  <c r="D13" i="46"/>
  <c r="D14" i="46"/>
  <c r="D16" i="46"/>
  <c r="D17" i="46"/>
  <c r="D18" i="46"/>
  <c r="D3" i="46"/>
  <c r="A106" i="10" l="1"/>
  <c r="B59" i="47"/>
  <c r="I116" i="10"/>
  <c r="C61" i="47" s="1"/>
  <c r="K114" i="10"/>
  <c r="I114" i="10"/>
  <c r="C49" i="47" s="1"/>
  <c r="H113" i="10"/>
  <c r="I112" i="10" s="1"/>
  <c r="I115" i="10"/>
  <c r="C55" i="47" s="1"/>
  <c r="K116" i="10"/>
  <c r="K115" i="10"/>
  <c r="K112" i="10"/>
  <c r="B28" i="47"/>
  <c r="J110" i="10"/>
  <c r="J112" i="10"/>
  <c r="H111" i="10"/>
  <c r="I110" i="10" s="1"/>
  <c r="B42" i="47"/>
  <c r="B31" i="47"/>
  <c r="D3" i="35"/>
  <c r="D3" i="4"/>
  <c r="I31" i="27"/>
  <c r="I24" i="27"/>
  <c r="I18" i="27"/>
  <c r="I8" i="27"/>
  <c r="C2" i="44"/>
  <c r="C2" i="42"/>
  <c r="K120" i="10" l="1"/>
  <c r="J3" i="10" s="1"/>
  <c r="J120" i="10"/>
  <c r="I120" i="10"/>
  <c r="J5" i="10" s="1"/>
  <c r="C43" i="47"/>
  <c r="C32" i="47"/>
  <c r="U11" i="41"/>
  <c r="Y11" i="41"/>
  <c r="Z11" i="41"/>
  <c r="AA11" i="41"/>
  <c r="AB11" i="41"/>
  <c r="AC11" i="41"/>
  <c r="AD11" i="41"/>
  <c r="AE11" i="41"/>
  <c r="AF11" i="41"/>
  <c r="AG11" i="41"/>
  <c r="AH11" i="41"/>
  <c r="U12" i="41"/>
  <c r="V12" i="41"/>
  <c r="Z12" i="41"/>
  <c r="AA12" i="41"/>
  <c r="AB12" i="41"/>
  <c r="AC12" i="41"/>
  <c r="AD12" i="41"/>
  <c r="AE12" i="41"/>
  <c r="AF12" i="41"/>
  <c r="AG12" i="41"/>
  <c r="AH12" i="41"/>
  <c r="U13" i="41"/>
  <c r="V13" i="41"/>
  <c r="W13" i="41"/>
  <c r="AA13" i="41"/>
  <c r="AB13" i="41"/>
  <c r="AC13" i="41"/>
  <c r="AD13" i="41"/>
  <c r="AE13" i="41"/>
  <c r="AF13" i="41"/>
  <c r="AG13" i="41"/>
  <c r="AH13" i="41"/>
  <c r="U14" i="41"/>
  <c r="V14" i="41"/>
  <c r="W14" i="41"/>
  <c r="X14" i="41"/>
  <c r="AB14" i="41"/>
  <c r="AC14" i="41"/>
  <c r="AD14" i="41"/>
  <c r="AE14" i="41"/>
  <c r="AF14" i="41"/>
  <c r="AG14" i="41"/>
  <c r="AH14" i="41"/>
  <c r="U15" i="41"/>
  <c r="V15" i="41"/>
  <c r="W15" i="41"/>
  <c r="X15" i="41"/>
  <c r="Y15" i="41"/>
  <c r="AC15" i="41"/>
  <c r="AD15" i="41"/>
  <c r="AE15" i="41"/>
  <c r="AF15" i="41"/>
  <c r="AG15" i="41"/>
  <c r="AH15" i="41"/>
  <c r="U16" i="41"/>
  <c r="V16" i="41"/>
  <c r="W16" i="41"/>
  <c r="X16" i="41"/>
  <c r="Y16" i="41"/>
  <c r="Z16" i="41"/>
  <c r="AD16" i="41"/>
  <c r="AE16" i="41"/>
  <c r="AF16" i="41"/>
  <c r="AG16" i="41"/>
  <c r="AH16" i="41"/>
  <c r="U17" i="41"/>
  <c r="V17" i="41"/>
  <c r="W17" i="41"/>
  <c r="X17" i="41"/>
  <c r="Y17" i="41"/>
  <c r="Z17" i="41"/>
  <c r="AA17" i="41"/>
  <c r="AE17" i="41"/>
  <c r="AF17" i="41"/>
  <c r="AG17" i="41"/>
  <c r="AH17" i="41"/>
  <c r="U18" i="41"/>
  <c r="V18" i="41"/>
  <c r="W18" i="41"/>
  <c r="X18" i="41"/>
  <c r="Y18" i="41"/>
  <c r="Z18" i="41"/>
  <c r="AA18" i="41"/>
  <c r="AB18" i="41"/>
  <c r="AF18" i="41"/>
  <c r="AG18" i="41"/>
  <c r="AH18" i="41"/>
  <c r="U19" i="41"/>
  <c r="V19" i="41"/>
  <c r="W19" i="41"/>
  <c r="X19" i="41"/>
  <c r="Y19" i="41"/>
  <c r="Z19" i="41"/>
  <c r="AA19" i="41"/>
  <c r="AB19" i="41"/>
  <c r="AC19" i="41"/>
  <c r="AG19" i="41"/>
  <c r="AH19" i="41"/>
  <c r="U20" i="41"/>
  <c r="V20" i="41"/>
  <c r="W20" i="41"/>
  <c r="X20" i="41"/>
  <c r="Y20" i="41"/>
  <c r="Z20" i="41"/>
  <c r="AA20" i="41"/>
  <c r="AB20" i="41"/>
  <c r="AC20" i="41"/>
  <c r="AD20" i="41"/>
  <c r="AH20" i="41"/>
  <c r="U21" i="41"/>
  <c r="V21" i="41"/>
  <c r="W21" i="41"/>
  <c r="X21" i="41"/>
  <c r="Y21" i="41"/>
  <c r="Z21" i="41"/>
  <c r="AA21" i="41"/>
  <c r="AB21" i="41"/>
  <c r="AC21" i="41"/>
  <c r="AD21" i="41"/>
  <c r="AE21" i="41"/>
  <c r="X10" i="41"/>
  <c r="Y10" i="41"/>
  <c r="Z10" i="41"/>
  <c r="AA10" i="41"/>
  <c r="AB10" i="41"/>
  <c r="AC10" i="41"/>
  <c r="AD10" i="41"/>
  <c r="AE10" i="41"/>
  <c r="AF10" i="41"/>
  <c r="AG10" i="41"/>
  <c r="AH10" i="41"/>
  <c r="D11" i="41"/>
  <c r="H11" i="41"/>
  <c r="I11" i="41"/>
  <c r="J11" i="41"/>
  <c r="K11" i="41"/>
  <c r="L11" i="41"/>
  <c r="M11" i="41"/>
  <c r="N11" i="41"/>
  <c r="O11" i="41"/>
  <c r="P11" i="41"/>
  <c r="Q11" i="41"/>
  <c r="D12" i="41"/>
  <c r="E12" i="41"/>
  <c r="I12" i="41"/>
  <c r="J12" i="41"/>
  <c r="K12" i="41"/>
  <c r="L12" i="41"/>
  <c r="M12" i="41"/>
  <c r="N12" i="41"/>
  <c r="O12" i="41"/>
  <c r="P12" i="41"/>
  <c r="Q12" i="41"/>
  <c r="D13" i="41"/>
  <c r="E13" i="41"/>
  <c r="F13" i="41"/>
  <c r="J13" i="41"/>
  <c r="K13" i="41"/>
  <c r="L13" i="41"/>
  <c r="M13" i="41"/>
  <c r="N13" i="41"/>
  <c r="O13" i="41"/>
  <c r="P13" i="41"/>
  <c r="Q13" i="41"/>
  <c r="D14" i="41"/>
  <c r="E14" i="41"/>
  <c r="F14" i="41"/>
  <c r="G14" i="41"/>
  <c r="K14" i="41"/>
  <c r="L14" i="41"/>
  <c r="M14" i="41"/>
  <c r="N14" i="41"/>
  <c r="O14" i="41"/>
  <c r="P14" i="41"/>
  <c r="Q14" i="41"/>
  <c r="D15" i="41"/>
  <c r="E15" i="41"/>
  <c r="F15" i="41"/>
  <c r="G15" i="41"/>
  <c r="H15" i="41"/>
  <c r="L15" i="41"/>
  <c r="M15" i="41"/>
  <c r="N15" i="41"/>
  <c r="O15" i="41"/>
  <c r="P15" i="41"/>
  <c r="Q15" i="41"/>
  <c r="D16" i="41"/>
  <c r="E16" i="41"/>
  <c r="F16" i="41"/>
  <c r="G16" i="41"/>
  <c r="H16" i="41"/>
  <c r="I16" i="41"/>
  <c r="M16" i="41"/>
  <c r="N16" i="41"/>
  <c r="O16" i="41"/>
  <c r="P16" i="41"/>
  <c r="Q16" i="41"/>
  <c r="D17" i="41"/>
  <c r="E17" i="41"/>
  <c r="F17" i="41"/>
  <c r="G17" i="41"/>
  <c r="H17" i="41"/>
  <c r="I17" i="41"/>
  <c r="J17" i="41"/>
  <c r="N17" i="41"/>
  <c r="O17" i="41"/>
  <c r="P17" i="41"/>
  <c r="Q17" i="41"/>
  <c r="D18" i="41"/>
  <c r="E18" i="41"/>
  <c r="F18" i="41"/>
  <c r="G18" i="41"/>
  <c r="H18" i="41"/>
  <c r="I18" i="41"/>
  <c r="J18" i="41"/>
  <c r="K18" i="41"/>
  <c r="O18" i="41"/>
  <c r="P18" i="41"/>
  <c r="Q18" i="41"/>
  <c r="D19" i="41"/>
  <c r="E19" i="41"/>
  <c r="F19" i="41"/>
  <c r="G19" i="41"/>
  <c r="H19" i="41"/>
  <c r="I19" i="41"/>
  <c r="J19" i="41"/>
  <c r="K19" i="41"/>
  <c r="L19" i="41"/>
  <c r="P19" i="41"/>
  <c r="Q19" i="41"/>
  <c r="D20" i="41"/>
  <c r="E20" i="41"/>
  <c r="F20" i="41"/>
  <c r="G20" i="41"/>
  <c r="H20" i="41"/>
  <c r="I20" i="41"/>
  <c r="J20" i="41"/>
  <c r="K20" i="41"/>
  <c r="L20" i="41"/>
  <c r="M20" i="41"/>
  <c r="Q20" i="41"/>
  <c r="D21" i="41"/>
  <c r="E21" i="41"/>
  <c r="F21" i="41"/>
  <c r="G21" i="41"/>
  <c r="H21" i="41"/>
  <c r="I21" i="41"/>
  <c r="J21" i="41"/>
  <c r="K21" i="41"/>
  <c r="L21" i="41"/>
  <c r="M21" i="41"/>
  <c r="N21" i="41"/>
  <c r="G10" i="41"/>
  <c r="H10" i="41"/>
  <c r="I10" i="41"/>
  <c r="J10" i="41"/>
  <c r="K10" i="41"/>
  <c r="L10" i="41"/>
  <c r="M10" i="41"/>
  <c r="N10" i="41"/>
  <c r="O10" i="41"/>
  <c r="P10" i="41"/>
  <c r="Q10" i="41"/>
  <c r="S27" i="41"/>
  <c r="S2" i="41"/>
  <c r="B2" i="41"/>
  <c r="B2" i="40"/>
  <c r="S25" i="40"/>
  <c r="U32" i="40"/>
  <c r="Y32" i="40"/>
  <c r="Z32" i="40"/>
  <c r="AA32" i="40"/>
  <c r="AB32" i="40"/>
  <c r="AC32" i="40"/>
  <c r="AD32" i="40"/>
  <c r="AE32" i="40"/>
  <c r="AF32" i="40"/>
  <c r="AG32" i="40"/>
  <c r="AH32" i="40"/>
  <c r="U33" i="40"/>
  <c r="V33" i="40"/>
  <c r="Z33" i="40"/>
  <c r="AA33" i="40"/>
  <c r="AB33" i="40"/>
  <c r="AC33" i="40"/>
  <c r="AD33" i="40"/>
  <c r="AE33" i="40"/>
  <c r="AF33" i="40"/>
  <c r="AG33" i="40"/>
  <c r="AH33" i="40"/>
  <c r="U34" i="40"/>
  <c r="V34" i="40"/>
  <c r="W34" i="40"/>
  <c r="AA34" i="40"/>
  <c r="AB34" i="40"/>
  <c r="AC34" i="40"/>
  <c r="AD34" i="40"/>
  <c r="AE34" i="40"/>
  <c r="AF34" i="40"/>
  <c r="AG34" i="40"/>
  <c r="AH34" i="40"/>
  <c r="U35" i="40"/>
  <c r="V35" i="40"/>
  <c r="W35" i="40"/>
  <c r="X35" i="40"/>
  <c r="AB35" i="40"/>
  <c r="AC35" i="40"/>
  <c r="AD35" i="40"/>
  <c r="AE35" i="40"/>
  <c r="AF35" i="40"/>
  <c r="AG35" i="40"/>
  <c r="AH35" i="40"/>
  <c r="U36" i="40"/>
  <c r="V36" i="40"/>
  <c r="W36" i="40"/>
  <c r="X36" i="40"/>
  <c r="Y36" i="40"/>
  <c r="AC36" i="40"/>
  <c r="AD36" i="40"/>
  <c r="AE36" i="40"/>
  <c r="AF36" i="40"/>
  <c r="AG36" i="40"/>
  <c r="AH36" i="40"/>
  <c r="U37" i="40"/>
  <c r="V37" i="40"/>
  <c r="W37" i="40"/>
  <c r="X37" i="40"/>
  <c r="Y37" i="40"/>
  <c r="Z37" i="40"/>
  <c r="AD37" i="40"/>
  <c r="AE37" i="40"/>
  <c r="AF37" i="40"/>
  <c r="AG37" i="40"/>
  <c r="AH37" i="40"/>
  <c r="U38" i="40"/>
  <c r="V38" i="40"/>
  <c r="W38" i="40"/>
  <c r="X38" i="40"/>
  <c r="Y38" i="40"/>
  <c r="Z38" i="40"/>
  <c r="AA38" i="40"/>
  <c r="AE38" i="40"/>
  <c r="AF38" i="40"/>
  <c r="AG38" i="40"/>
  <c r="AH38" i="40"/>
  <c r="U39" i="40"/>
  <c r="V39" i="40"/>
  <c r="W39" i="40"/>
  <c r="X39" i="40"/>
  <c r="Y39" i="40"/>
  <c r="Z39" i="40"/>
  <c r="AA39" i="40"/>
  <c r="AB39" i="40"/>
  <c r="AF39" i="40"/>
  <c r="AG39" i="40"/>
  <c r="AH39" i="40"/>
  <c r="U40" i="40"/>
  <c r="V40" i="40"/>
  <c r="W40" i="40"/>
  <c r="X40" i="40"/>
  <c r="Y40" i="40"/>
  <c r="Z40" i="40"/>
  <c r="AA40" i="40"/>
  <c r="AB40" i="40"/>
  <c r="AC40" i="40"/>
  <c r="AG40" i="40"/>
  <c r="AH40" i="40"/>
  <c r="U41" i="40"/>
  <c r="V41" i="40"/>
  <c r="W41" i="40"/>
  <c r="X41" i="40"/>
  <c r="Y41" i="40"/>
  <c r="Z41" i="40"/>
  <c r="AA41" i="40"/>
  <c r="AB41" i="40"/>
  <c r="AC41" i="40"/>
  <c r="AD41" i="40"/>
  <c r="AH41" i="40"/>
  <c r="U42" i="40"/>
  <c r="V42" i="40"/>
  <c r="W42" i="40"/>
  <c r="X42" i="40"/>
  <c r="Y42" i="40"/>
  <c r="Z42" i="40"/>
  <c r="AA42" i="40"/>
  <c r="AB42" i="40"/>
  <c r="AC42" i="40"/>
  <c r="AD42" i="40"/>
  <c r="AE42" i="40"/>
  <c r="X31" i="40"/>
  <c r="Y31" i="40"/>
  <c r="Z31" i="40"/>
  <c r="AA31" i="40"/>
  <c r="AB31" i="40"/>
  <c r="AC31" i="40"/>
  <c r="AD31" i="40"/>
  <c r="AE31" i="40"/>
  <c r="AF31" i="40"/>
  <c r="AG31" i="40"/>
  <c r="AH31" i="40"/>
  <c r="U9" i="40"/>
  <c r="Y9" i="40"/>
  <c r="Z9" i="40"/>
  <c r="AA9" i="40"/>
  <c r="AB9" i="40"/>
  <c r="AC9" i="40"/>
  <c r="AD9" i="40"/>
  <c r="AE9" i="40"/>
  <c r="AF9" i="40"/>
  <c r="AG9" i="40"/>
  <c r="AH9" i="40"/>
  <c r="U10" i="40"/>
  <c r="V10" i="40"/>
  <c r="Z10" i="40"/>
  <c r="AA10" i="40"/>
  <c r="AB10" i="40"/>
  <c r="AC10" i="40"/>
  <c r="AD10" i="40"/>
  <c r="AE10" i="40"/>
  <c r="AF10" i="40"/>
  <c r="AG10" i="40"/>
  <c r="AH10" i="40"/>
  <c r="U11" i="40"/>
  <c r="V11" i="40"/>
  <c r="W11" i="40"/>
  <c r="AA11" i="40"/>
  <c r="AB11" i="40"/>
  <c r="AC11" i="40"/>
  <c r="AD11" i="40"/>
  <c r="AE11" i="40"/>
  <c r="AF11" i="40"/>
  <c r="AG11" i="40"/>
  <c r="AH11" i="40"/>
  <c r="U12" i="40"/>
  <c r="V12" i="40"/>
  <c r="W12" i="40"/>
  <c r="X12" i="40"/>
  <c r="AB12" i="40"/>
  <c r="AC12" i="40"/>
  <c r="AD12" i="40"/>
  <c r="AE12" i="40"/>
  <c r="AF12" i="40"/>
  <c r="AG12" i="40"/>
  <c r="AH12" i="40"/>
  <c r="U13" i="40"/>
  <c r="V13" i="40"/>
  <c r="W13" i="40"/>
  <c r="X13" i="40"/>
  <c r="Y13" i="40"/>
  <c r="AC13" i="40"/>
  <c r="AD13" i="40"/>
  <c r="AE13" i="40"/>
  <c r="AF13" i="40"/>
  <c r="AG13" i="40"/>
  <c r="AH13" i="40"/>
  <c r="U14" i="40"/>
  <c r="V14" i="40"/>
  <c r="W14" i="40"/>
  <c r="X14" i="40"/>
  <c r="Y14" i="40"/>
  <c r="Z14" i="40"/>
  <c r="AD14" i="40"/>
  <c r="AE14" i="40"/>
  <c r="AF14" i="40"/>
  <c r="AG14" i="40"/>
  <c r="AH14" i="40"/>
  <c r="U15" i="40"/>
  <c r="V15" i="40"/>
  <c r="W15" i="40"/>
  <c r="X15" i="40"/>
  <c r="Y15" i="40"/>
  <c r="Z15" i="40"/>
  <c r="AA15" i="40"/>
  <c r="AE15" i="40"/>
  <c r="AF15" i="40"/>
  <c r="AG15" i="40"/>
  <c r="AH15" i="40"/>
  <c r="U16" i="40"/>
  <c r="V16" i="40"/>
  <c r="W16" i="40"/>
  <c r="X16" i="40"/>
  <c r="Y16" i="40"/>
  <c r="Z16" i="40"/>
  <c r="AA16" i="40"/>
  <c r="AB16" i="40"/>
  <c r="AF16" i="40"/>
  <c r="AG16" i="40"/>
  <c r="AH16" i="40"/>
  <c r="U17" i="40"/>
  <c r="V17" i="40"/>
  <c r="W17" i="40"/>
  <c r="X17" i="40"/>
  <c r="Y17" i="40"/>
  <c r="Z17" i="40"/>
  <c r="AA17" i="40"/>
  <c r="AB17" i="40"/>
  <c r="AC17" i="40"/>
  <c r="AG17" i="40"/>
  <c r="AH17" i="40"/>
  <c r="U18" i="40"/>
  <c r="V18" i="40"/>
  <c r="W18" i="40"/>
  <c r="X18" i="40"/>
  <c r="Y18" i="40"/>
  <c r="Z18" i="40"/>
  <c r="AA18" i="40"/>
  <c r="AB18" i="40"/>
  <c r="AC18" i="40"/>
  <c r="AD18" i="40"/>
  <c r="AH18" i="40"/>
  <c r="U19" i="40"/>
  <c r="V19" i="40"/>
  <c r="W19" i="40"/>
  <c r="X19" i="40"/>
  <c r="Y19" i="40"/>
  <c r="Z19" i="40"/>
  <c r="AA19" i="40"/>
  <c r="AB19" i="40"/>
  <c r="AC19" i="40"/>
  <c r="AD19" i="40"/>
  <c r="AE19" i="40"/>
  <c r="X8" i="40"/>
  <c r="Y8" i="40"/>
  <c r="Z8" i="40"/>
  <c r="AA8" i="40"/>
  <c r="AB8" i="40"/>
  <c r="AC8" i="40"/>
  <c r="AD8" i="40"/>
  <c r="AE8" i="40"/>
  <c r="AF8" i="40"/>
  <c r="AG8" i="40"/>
  <c r="AH8" i="40"/>
  <c r="M104" i="10"/>
  <c r="M105" i="10"/>
  <c r="M106" i="10"/>
  <c r="M107" i="10"/>
  <c r="M108" i="10"/>
  <c r="M109" i="10"/>
  <c r="P8" i="40"/>
  <c r="Q8" i="40"/>
  <c r="P9" i="40"/>
  <c r="Q9" i="40"/>
  <c r="P10" i="40"/>
  <c r="Q10" i="40"/>
  <c r="P11" i="40"/>
  <c r="Q11" i="40"/>
  <c r="P12" i="40"/>
  <c r="Q12" i="40"/>
  <c r="P13" i="40"/>
  <c r="Q13" i="40"/>
  <c r="P14" i="40"/>
  <c r="Q14" i="40"/>
  <c r="P15" i="40"/>
  <c r="Q15" i="40"/>
  <c r="P16" i="40"/>
  <c r="Q16" i="40"/>
  <c r="P17" i="40"/>
  <c r="Q17" i="40"/>
  <c r="Q18" i="40"/>
  <c r="D9" i="40"/>
  <c r="H9" i="40"/>
  <c r="I9" i="40"/>
  <c r="J9" i="40"/>
  <c r="K9" i="40"/>
  <c r="L9" i="40"/>
  <c r="M9" i="40"/>
  <c r="N9" i="40"/>
  <c r="O9" i="40"/>
  <c r="D10" i="40"/>
  <c r="E10" i="40"/>
  <c r="I10" i="40"/>
  <c r="J10" i="40"/>
  <c r="K10" i="40"/>
  <c r="L10" i="40"/>
  <c r="M10" i="40"/>
  <c r="N10" i="40"/>
  <c r="O10" i="40"/>
  <c r="D11" i="40"/>
  <c r="E11" i="40"/>
  <c r="F11" i="40"/>
  <c r="J11" i="40"/>
  <c r="K11" i="40"/>
  <c r="L11" i="40"/>
  <c r="M11" i="40"/>
  <c r="N11" i="40"/>
  <c r="O11" i="40"/>
  <c r="D12" i="40"/>
  <c r="E12" i="40"/>
  <c r="F12" i="40"/>
  <c r="G12" i="40"/>
  <c r="K12" i="40"/>
  <c r="L12" i="40"/>
  <c r="M12" i="40"/>
  <c r="N12" i="40"/>
  <c r="O12" i="40"/>
  <c r="D13" i="40"/>
  <c r="E13" i="40"/>
  <c r="F13" i="40"/>
  <c r="G13" i="40"/>
  <c r="H13" i="40"/>
  <c r="L13" i="40"/>
  <c r="M13" i="40"/>
  <c r="N13" i="40"/>
  <c r="O13" i="40"/>
  <c r="D14" i="40"/>
  <c r="E14" i="40"/>
  <c r="F14" i="40"/>
  <c r="G14" i="40"/>
  <c r="H14" i="40"/>
  <c r="I14" i="40"/>
  <c r="M14" i="40"/>
  <c r="N14" i="40"/>
  <c r="O14" i="40"/>
  <c r="D15" i="40"/>
  <c r="E15" i="40"/>
  <c r="F15" i="40"/>
  <c r="G15" i="40"/>
  <c r="H15" i="40"/>
  <c r="I15" i="40"/>
  <c r="J15" i="40"/>
  <c r="N15" i="40"/>
  <c r="O15" i="40"/>
  <c r="D16" i="40"/>
  <c r="E16" i="40"/>
  <c r="F16" i="40"/>
  <c r="G16" i="40"/>
  <c r="H16" i="40"/>
  <c r="I16" i="40"/>
  <c r="J16" i="40"/>
  <c r="K16" i="40"/>
  <c r="O16" i="40"/>
  <c r="D17" i="40"/>
  <c r="E17" i="40"/>
  <c r="F17" i="40"/>
  <c r="G17" i="40"/>
  <c r="H17" i="40"/>
  <c r="I17" i="40"/>
  <c r="J17" i="40"/>
  <c r="K17" i="40"/>
  <c r="L17" i="40"/>
  <c r="D18" i="40"/>
  <c r="E18" i="40"/>
  <c r="F18" i="40"/>
  <c r="G18" i="40"/>
  <c r="H18" i="40"/>
  <c r="I18" i="40"/>
  <c r="J18" i="40"/>
  <c r="K18" i="40"/>
  <c r="L18" i="40"/>
  <c r="M18" i="40"/>
  <c r="D19" i="40"/>
  <c r="E19" i="40"/>
  <c r="F19" i="40"/>
  <c r="G19" i="40"/>
  <c r="H19" i="40"/>
  <c r="I19" i="40"/>
  <c r="J19" i="40"/>
  <c r="K19" i="40"/>
  <c r="L19" i="40"/>
  <c r="M19" i="40"/>
  <c r="N19" i="40"/>
  <c r="G8" i="40"/>
  <c r="H8" i="40"/>
  <c r="I8" i="40"/>
  <c r="J8" i="40"/>
  <c r="K8" i="40"/>
  <c r="L8" i="40"/>
  <c r="M8" i="40"/>
  <c r="N8" i="40"/>
  <c r="O8" i="40"/>
  <c r="S2" i="40"/>
  <c r="I32" i="27"/>
  <c r="I25" i="27"/>
  <c r="I10" i="27"/>
  <c r="I19" i="27"/>
  <c r="I46" i="10"/>
  <c r="H46" i="10"/>
  <c r="G46" i="10"/>
  <c r="D22" i="2" l="1"/>
  <c r="T33" i="40"/>
  <c r="T34" i="40"/>
  <c r="J46" i="10"/>
  <c r="P105" i="10"/>
  <c r="W32" i="40" s="1"/>
  <c r="D25" i="16"/>
  <c r="Q107" i="10"/>
  <c r="S109" i="10"/>
  <c r="O105" i="10"/>
  <c r="V32" i="40" s="1"/>
  <c r="P106" i="10"/>
  <c r="T36" i="40"/>
  <c r="Q106" i="10"/>
  <c r="N104" i="10"/>
  <c r="N116" i="10" s="1"/>
  <c r="T109" i="10"/>
  <c r="O104" i="10"/>
  <c r="T31" i="40"/>
  <c r="R107" i="10"/>
  <c r="T32" i="40"/>
  <c r="R108" i="10"/>
  <c r="S108" i="10"/>
  <c r="T35" i="40"/>
  <c r="I30" i="25"/>
  <c r="F15" i="11"/>
  <c r="S107" i="10" l="1"/>
  <c r="R106" i="10"/>
  <c r="R116" i="10" s="1"/>
  <c r="T108" i="10"/>
  <c r="AA35" i="40" s="1"/>
  <c r="U109" i="10"/>
  <c r="AB36" i="40" s="1"/>
  <c r="P104" i="10"/>
  <c r="P116" i="10" s="1"/>
  <c r="Q105" i="10"/>
  <c r="X32" i="40" s="1"/>
  <c r="Z34" i="40"/>
  <c r="S116" i="10"/>
  <c r="O116" i="10"/>
  <c r="Z36" i="40"/>
  <c r="X34" i="40"/>
  <c r="W33" i="40"/>
  <c r="V31" i="40"/>
  <c r="X33" i="40"/>
  <c r="AA36" i="40"/>
  <c r="Y34" i="40"/>
  <c r="Y35" i="40"/>
  <c r="Z35" i="40"/>
  <c r="U31" i="40"/>
  <c r="I78" i="10"/>
  <c r="I77" i="10"/>
  <c r="W31" i="40" l="1"/>
  <c r="Y33" i="40"/>
  <c r="Q116" i="10"/>
  <c r="X43" i="40" s="1"/>
  <c r="H12" i="16"/>
  <c r="Z43" i="40"/>
  <c r="W43" i="40"/>
  <c r="E12" i="16"/>
  <c r="V43" i="40"/>
  <c r="D12" i="16"/>
  <c r="U43" i="40"/>
  <c r="C12" i="16"/>
  <c r="Y43" i="40"/>
  <c r="G12" i="16"/>
  <c r="I80" i="10"/>
  <c r="J80" i="10" s="1"/>
  <c r="I79" i="10"/>
  <c r="J79" i="10" s="1"/>
  <c r="J78" i="10"/>
  <c r="I76" i="10"/>
  <c r="J76" i="10" s="1"/>
  <c r="J77" i="10"/>
  <c r="I75" i="10"/>
  <c r="J75" i="10" s="1"/>
  <c r="I74" i="10"/>
  <c r="J74" i="10" s="1"/>
  <c r="I73" i="10"/>
  <c r="J73" i="10" s="1"/>
  <c r="C12" i="29"/>
  <c r="G68" i="10"/>
  <c r="G75" i="10" s="1"/>
  <c r="E67" i="10"/>
  <c r="C28" i="29" s="1"/>
  <c r="F12" i="16" l="1"/>
  <c r="O22" i="39"/>
  <c r="C20" i="32" s="1"/>
  <c r="O24" i="39"/>
  <c r="C22" i="32" s="1"/>
  <c r="B1" i="39"/>
  <c r="I95" i="10" l="1"/>
  <c r="H95" i="10"/>
  <c r="G95" i="10"/>
  <c r="E95" i="10"/>
  <c r="D95" i="10"/>
  <c r="C95" i="10"/>
  <c r="B95" i="10"/>
  <c r="AC11" i="10"/>
  <c r="E25" i="38"/>
  <c r="E22" i="38"/>
  <c r="E19" i="38"/>
  <c r="E15" i="38"/>
  <c r="E12" i="38"/>
  <c r="E9" i="38"/>
  <c r="E90" i="10"/>
  <c r="E92" i="10"/>
  <c r="E89" i="10"/>
  <c r="C91" i="10"/>
  <c r="D91" i="10"/>
  <c r="B91" i="10"/>
  <c r="E91" i="10" s="1"/>
  <c r="B1" i="37"/>
  <c r="B25" i="37"/>
  <c r="B13" i="37"/>
  <c r="F4" i="38" l="1"/>
  <c r="E18" i="38"/>
  <c r="E14" i="38"/>
  <c r="E21" i="38"/>
  <c r="E24" i="38"/>
  <c r="E11" i="38"/>
  <c r="E8" i="38"/>
  <c r="AD11" i="10"/>
  <c r="B2" i="34"/>
  <c r="B2" i="18"/>
  <c r="AE11" i="10" l="1"/>
  <c r="AN11" i="10"/>
  <c r="AY11" i="10" s="1"/>
  <c r="AO11" i="10" l="1"/>
  <c r="AZ11" i="10" s="1"/>
  <c r="AF11" i="10"/>
  <c r="D23" i="30" l="1"/>
  <c r="C31" i="33"/>
  <c r="C23" i="30"/>
  <c r="C31" i="13"/>
  <c r="D23" i="39"/>
  <c r="C23" i="39"/>
  <c r="AG11" i="10"/>
  <c r="AQ11" i="10" s="1"/>
  <c r="BG7" i="10" s="1"/>
  <c r="BH7" i="10" s="1"/>
  <c r="BI7" i="10" s="1"/>
  <c r="BJ7" i="10" s="1"/>
  <c r="BK7" i="10" s="1"/>
  <c r="BL7" i="10" s="1"/>
  <c r="BM7" i="10" s="1"/>
  <c r="AP11" i="10"/>
  <c r="BA11" i="10" s="1"/>
  <c r="K51" i="10"/>
  <c r="AR11" i="10" l="1"/>
  <c r="BB11" i="10"/>
  <c r="M38" i="11"/>
  <c r="J38" i="11"/>
  <c r="G38" i="11"/>
  <c r="D42" i="11"/>
  <c r="G42" i="11"/>
  <c r="J42" i="11"/>
  <c r="M42" i="11"/>
  <c r="D38" i="11"/>
  <c r="E19" i="17" l="1"/>
  <c r="E7" i="17"/>
  <c r="E20" i="17"/>
  <c r="E18" i="17"/>
  <c r="E6" i="17"/>
  <c r="E14" i="17"/>
  <c r="E8" i="17"/>
  <c r="H3" i="10" l="1"/>
  <c r="H5" i="10"/>
  <c r="B83" i="10"/>
  <c r="B82" i="10"/>
  <c r="G25" i="29"/>
  <c r="G64" i="10"/>
  <c r="B31" i="39" l="1"/>
  <c r="B30" i="32"/>
  <c r="B84" i="10"/>
  <c r="B26" i="34"/>
  <c r="B14" i="34"/>
  <c r="B2" i="33"/>
  <c r="B2" i="32"/>
  <c r="I60" i="10"/>
  <c r="D14" i="28" s="1"/>
  <c r="B1" i="25"/>
  <c r="D73" i="10"/>
  <c r="I29" i="27"/>
  <c r="I28" i="27"/>
  <c r="I22" i="27"/>
  <c r="I16" i="27"/>
  <c r="G66" i="10"/>
  <c r="B24" i="28"/>
  <c r="B31" i="30"/>
  <c r="I24" i="30"/>
  <c r="I22" i="30"/>
  <c r="B1" i="30"/>
  <c r="AL11" i="10"/>
  <c r="AW11" i="10" s="1"/>
  <c r="AM11" i="10"/>
  <c r="AX11" i="10" s="1"/>
  <c r="AL25" i="10"/>
  <c r="AM25" i="10"/>
  <c r="B2" i="29"/>
  <c r="D68" i="10" l="1"/>
  <c r="G60" i="10"/>
  <c r="C74" i="10" s="1"/>
  <c r="G62" i="10"/>
  <c r="G63" i="10"/>
  <c r="G59" i="10"/>
  <c r="J47" i="10"/>
  <c r="B3" i="27" s="1"/>
  <c r="I23" i="25"/>
  <c r="I21" i="25"/>
  <c r="B75" i="10" l="1"/>
  <c r="C75" i="10"/>
  <c r="B74" i="10"/>
  <c r="B21" i="13"/>
  <c r="B20" i="13"/>
  <c r="K54" i="10"/>
  <c r="K50" i="10"/>
  <c r="K52" i="10"/>
  <c r="K53" i="10"/>
  <c r="K49" i="10"/>
  <c r="J43" i="10"/>
  <c r="J44" i="10"/>
  <c r="J42" i="10"/>
  <c r="I35" i="10"/>
  <c r="I36" i="10"/>
  <c r="I34" i="10"/>
  <c r="H45" i="10"/>
  <c r="I45" i="10"/>
  <c r="G45" i="10"/>
  <c r="G38" i="10"/>
  <c r="I38" i="10" s="1"/>
  <c r="G37" i="10"/>
  <c r="D8" i="21" s="1"/>
  <c r="H37" i="10"/>
  <c r="B1" i="2"/>
  <c r="C29" i="16" l="1"/>
  <c r="O29" i="16" s="1"/>
  <c r="C18" i="33"/>
  <c r="C18" i="13"/>
  <c r="C26" i="2"/>
  <c r="I26" i="2" s="1"/>
  <c r="C19" i="13"/>
  <c r="C19" i="33"/>
  <c r="C26" i="32"/>
  <c r="D24" i="3"/>
  <c r="D75" i="10"/>
  <c r="B30" i="39"/>
  <c r="B30" i="2"/>
  <c r="AR34" i="10"/>
  <c r="BF34" i="10"/>
  <c r="I37" i="10"/>
  <c r="J45" i="10"/>
  <c r="B30" i="30"/>
  <c r="B29" i="32"/>
  <c r="D74" i="10"/>
  <c r="B29" i="25"/>
  <c r="B27" i="3"/>
  <c r="B33" i="16"/>
  <c r="O7" i="18"/>
  <c r="C11" i="16"/>
  <c r="D11" i="16"/>
  <c r="E11" i="16"/>
  <c r="F11" i="16"/>
  <c r="G11" i="16"/>
  <c r="H11" i="16"/>
  <c r="B2" i="13" l="1"/>
  <c r="B2" i="3"/>
  <c r="B15" i="18"/>
  <c r="B1" i="16"/>
  <c r="C33" i="15"/>
  <c r="O20" i="18"/>
  <c r="I21" i="2"/>
  <c r="I23" i="2"/>
  <c r="C23" i="16"/>
  <c r="C20" i="2"/>
  <c r="B28" i="17" l="1"/>
  <c r="D43" i="10"/>
  <c r="B77" i="10" s="1"/>
  <c r="D77" i="10" s="1"/>
  <c r="B46" i="10"/>
  <c r="B45" i="10"/>
  <c r="B44" i="10"/>
  <c r="B43" i="10"/>
  <c r="B42" i="10"/>
  <c r="G31" i="10"/>
  <c r="H31" i="10"/>
  <c r="I31" i="10"/>
  <c r="J31" i="10"/>
  <c r="O26" i="16"/>
  <c r="D20" i="3" s="1"/>
  <c r="O24" i="16"/>
  <c r="D18" i="3" s="1"/>
  <c r="D44" i="10" l="1"/>
  <c r="D45" i="10" s="1"/>
  <c r="B12" i="16"/>
  <c r="F36" i="18"/>
  <c r="B27" i="18"/>
  <c r="B10" i="39"/>
  <c r="L35" i="37"/>
  <c r="D23" i="42"/>
  <c r="D13" i="42"/>
  <c r="D24" i="42"/>
  <c r="D12" i="42"/>
  <c r="D26" i="44"/>
  <c r="D18" i="44"/>
  <c r="D14" i="44"/>
  <c r="D15" i="44"/>
  <c r="D8" i="42"/>
  <c r="D13" i="44"/>
  <c r="D16" i="42"/>
  <c r="D8" i="44"/>
  <c r="D25" i="44"/>
  <c r="AF49" i="41"/>
  <c r="AF45" i="40"/>
  <c r="S26" i="40"/>
  <c r="S28" i="41"/>
  <c r="B18" i="39"/>
  <c r="B9" i="39"/>
  <c r="B26" i="37"/>
  <c r="F36" i="34"/>
  <c r="B27" i="34"/>
  <c r="B10" i="30"/>
  <c r="B9" i="30"/>
  <c r="B24" i="17"/>
  <c r="B18" i="30"/>
  <c r="B17" i="25"/>
  <c r="B9" i="25"/>
  <c r="B10" i="25"/>
  <c r="B20" i="16"/>
  <c r="B11" i="16"/>
  <c r="B26" i="17"/>
  <c r="H13" i="10"/>
  <c r="B13" i="10"/>
  <c r="I12" i="10"/>
  <c r="G23" i="9" s="1"/>
  <c r="J12" i="10"/>
  <c r="G26" i="9" s="1"/>
  <c r="H12" i="10"/>
  <c r="G20" i="9" s="1"/>
  <c r="B16" i="10"/>
  <c r="E28" i="10"/>
  <c r="B30" i="10" s="1"/>
  <c r="C29" i="33" l="1"/>
  <c r="C29" i="13"/>
  <c r="H20" i="30"/>
  <c r="G20" i="30"/>
  <c r="D20" i="30"/>
  <c r="C20" i="30"/>
  <c r="F20" i="30"/>
  <c r="E20" i="30"/>
  <c r="C29" i="2"/>
  <c r="D29" i="2"/>
  <c r="E29" i="2"/>
  <c r="F29" i="2"/>
  <c r="G29" i="2"/>
  <c r="H29" i="2"/>
  <c r="L20" i="39"/>
  <c r="E20" i="39"/>
  <c r="M20" i="39"/>
  <c r="D20" i="39"/>
  <c r="N20" i="39"/>
  <c r="C20" i="39"/>
  <c r="I20" i="39"/>
  <c r="H20" i="39"/>
  <c r="F20" i="39"/>
  <c r="J20" i="39"/>
  <c r="G20" i="39"/>
  <c r="K20" i="39"/>
  <c r="N29" i="39"/>
  <c r="M29" i="39"/>
  <c r="D29" i="39"/>
  <c r="C29" i="39"/>
  <c r="I29" i="39"/>
  <c r="H29" i="39"/>
  <c r="J29" i="39"/>
  <c r="G29" i="39"/>
  <c r="K29" i="39"/>
  <c r="F29" i="39"/>
  <c r="L29" i="39"/>
  <c r="E29" i="39"/>
  <c r="B76" i="10"/>
  <c r="D76" i="10" s="1"/>
  <c r="G29" i="30"/>
  <c r="F29" i="30"/>
  <c r="E29" i="30"/>
  <c r="D29" i="30"/>
  <c r="H29" i="30"/>
  <c r="C29" i="30"/>
  <c r="D28" i="25"/>
  <c r="E28" i="25"/>
  <c r="G28" i="25"/>
  <c r="H28" i="25"/>
  <c r="F28" i="25"/>
  <c r="H19" i="25"/>
  <c r="G19" i="25"/>
  <c r="F19" i="25"/>
  <c r="D19" i="25"/>
  <c r="C19" i="25"/>
  <c r="E19" i="25"/>
  <c r="C28" i="25"/>
  <c r="D46" i="10"/>
  <c r="C18" i="16"/>
  <c r="D15" i="3" s="1"/>
  <c r="B18" i="10"/>
  <c r="M22" i="16"/>
  <c r="E22" i="16"/>
  <c r="L22" i="16"/>
  <c r="D22" i="16"/>
  <c r="K22" i="16"/>
  <c r="J22" i="16"/>
  <c r="I22" i="16"/>
  <c r="H22" i="16"/>
  <c r="G22" i="16"/>
  <c r="N22" i="16"/>
  <c r="F22" i="16"/>
  <c r="L32" i="16"/>
  <c r="D32" i="16"/>
  <c r="K32" i="16"/>
  <c r="C32" i="16"/>
  <c r="J32" i="16"/>
  <c r="I32" i="16"/>
  <c r="H32" i="16"/>
  <c r="E32" i="16"/>
  <c r="G32" i="16"/>
  <c r="N32" i="16"/>
  <c r="F32" i="16"/>
  <c r="M32" i="16"/>
  <c r="O20" i="39" l="1"/>
  <c r="C18" i="32" s="1"/>
  <c r="O29" i="39"/>
  <c r="C28" i="32" s="1"/>
  <c r="E76" i="10"/>
  <c r="I20" i="30"/>
  <c r="I29" i="30"/>
  <c r="I19" i="25"/>
  <c r="I28" i="25"/>
  <c r="G26" i="17"/>
  <c r="O18" i="16"/>
  <c r="O22" i="16"/>
  <c r="D16" i="3" s="1"/>
  <c r="O32" i="16"/>
  <c r="D26" i="3" s="1"/>
  <c r="E82" i="10"/>
  <c r="G30" i="10"/>
  <c r="H30" i="10"/>
  <c r="I30" i="10"/>
  <c r="J30" i="10"/>
  <c r="I25" i="10"/>
  <c r="I26" i="10"/>
  <c r="I27" i="10"/>
  <c r="I24" i="10"/>
  <c r="M36" i="11"/>
  <c r="J36" i="11"/>
  <c r="G36" i="11"/>
  <c r="D36" i="11"/>
  <c r="H15" i="10"/>
  <c r="H14" i="10"/>
  <c r="G5" i="10"/>
  <c r="G26" i="29" s="1"/>
  <c r="B15" i="10"/>
  <c r="K18" i="10" s="1"/>
  <c r="B14" i="10"/>
  <c r="C16" i="2"/>
  <c r="I16" i="2" s="1"/>
  <c r="O8" i="10"/>
  <c r="P8" i="10"/>
  <c r="Q8" i="10"/>
  <c r="R8" i="10"/>
  <c r="S8" i="10"/>
  <c r="T8" i="10"/>
  <c r="U8" i="10"/>
  <c r="V8" i="10"/>
  <c r="W8" i="10"/>
  <c r="X8" i="10"/>
  <c r="Y8" i="10"/>
  <c r="N8" i="10"/>
  <c r="N123" i="10" l="1"/>
  <c r="N125" i="10" s="1"/>
  <c r="N127" i="10" s="1"/>
  <c r="C23" i="10"/>
  <c r="G28" i="15" s="1"/>
  <c r="C7" i="16"/>
  <c r="O7" i="16" s="1"/>
  <c r="E83" i="10"/>
  <c r="E84" i="10"/>
  <c r="C44" i="33"/>
  <c r="C8" i="16"/>
  <c r="O8" i="16" s="1"/>
  <c r="C45" i="33"/>
  <c r="H7" i="10"/>
  <c r="K13" i="10" s="1"/>
  <c r="D61" i="10"/>
  <c r="C61" i="10"/>
  <c r="B70" i="10"/>
  <c r="E61" i="10"/>
  <c r="H22" i="25"/>
  <c r="D22" i="25"/>
  <c r="G22" i="25"/>
  <c r="C22" i="25"/>
  <c r="F22" i="25"/>
  <c r="E22" i="25"/>
  <c r="C38" i="16"/>
  <c r="O38" i="16" s="1"/>
  <c r="O4" i="16" s="1"/>
  <c r="G22" i="2"/>
  <c r="K25" i="16"/>
  <c r="J25" i="16"/>
  <c r="F25" i="16"/>
  <c r="I25" i="16"/>
  <c r="H25" i="16"/>
  <c r="E25" i="16"/>
  <c r="G25" i="16"/>
  <c r="N25" i="16"/>
  <c r="M25" i="16"/>
  <c r="L25" i="16"/>
  <c r="C8" i="2"/>
  <c r="I8" i="2" s="1"/>
  <c r="C45" i="13"/>
  <c r="B9" i="15"/>
  <c r="C44" i="13"/>
  <c r="C35" i="2"/>
  <c r="I35" i="2" s="1"/>
  <c r="I38" i="2" s="1"/>
  <c r="G27" i="15"/>
  <c r="B31" i="10"/>
  <c r="B34" i="10" s="1"/>
  <c r="C7" i="2"/>
  <c r="B28" i="15"/>
  <c r="B15" i="15"/>
  <c r="B24" i="10"/>
  <c r="B25" i="10"/>
  <c r="H19" i="2"/>
  <c r="F22" i="2"/>
  <c r="H22" i="2"/>
  <c r="E22" i="2"/>
  <c r="D19" i="2"/>
  <c r="F19" i="2"/>
  <c r="G19" i="2"/>
  <c r="E19" i="2"/>
  <c r="A7" i="10"/>
  <c r="B12" i="11" s="1"/>
  <c r="B7" i="10"/>
  <c r="B30" i="11" s="1"/>
  <c r="K6" i="10"/>
  <c r="F26" i="11" s="1"/>
  <c r="B26" i="11"/>
  <c r="B7" i="11"/>
  <c r="B15" i="11"/>
  <c r="G15" i="9" l="1"/>
  <c r="G12" i="9"/>
  <c r="G9" i="9"/>
  <c r="N126" i="10"/>
  <c r="C28" i="16" s="1"/>
  <c r="O123" i="10"/>
  <c r="B8" i="39"/>
  <c r="L25" i="18"/>
  <c r="L23" i="37"/>
  <c r="I7" i="2"/>
  <c r="D11" i="44"/>
  <c r="D12" i="44"/>
  <c r="D22" i="42"/>
  <c r="D7" i="44"/>
  <c r="D7" i="42"/>
  <c r="D10" i="44"/>
  <c r="D10" i="42"/>
  <c r="D17" i="44"/>
  <c r="D24" i="44"/>
  <c r="D11" i="42"/>
  <c r="D15" i="42"/>
  <c r="D23" i="44"/>
  <c r="D21" i="42"/>
  <c r="AF22" i="40"/>
  <c r="S3" i="40"/>
  <c r="S3" i="41"/>
  <c r="AF24" i="41"/>
  <c r="D19" i="21"/>
  <c r="D17" i="21"/>
  <c r="D21" i="21"/>
  <c r="B17" i="39"/>
  <c r="B7" i="39"/>
  <c r="G61" i="10"/>
  <c r="C70" i="10" s="1"/>
  <c r="D70" i="10" s="1"/>
  <c r="G15" i="15"/>
  <c r="G20" i="15"/>
  <c r="B14" i="37"/>
  <c r="B3" i="11"/>
  <c r="M40" i="11"/>
  <c r="J40" i="11"/>
  <c r="G40" i="11"/>
  <c r="D40" i="11"/>
  <c r="E23" i="29"/>
  <c r="B15" i="34"/>
  <c r="F24" i="34"/>
  <c r="B21" i="26"/>
  <c r="B8" i="30"/>
  <c r="B16" i="29"/>
  <c r="B17" i="30"/>
  <c r="B7" i="30"/>
  <c r="B16" i="25"/>
  <c r="B8" i="25"/>
  <c r="B7" i="25"/>
  <c r="E24" i="29"/>
  <c r="I22" i="25"/>
  <c r="G21" i="15"/>
  <c r="B19" i="16"/>
  <c r="J6" i="10"/>
  <c r="I19" i="2"/>
  <c r="B9" i="16"/>
  <c r="B10" i="16"/>
  <c r="B16" i="18"/>
  <c r="I22" i="2"/>
  <c r="I29" i="2"/>
  <c r="O25" i="16"/>
  <c r="D19" i="3" s="1"/>
  <c r="D31" i="10"/>
  <c r="D33" i="10" s="1"/>
  <c r="N128" i="10" l="1"/>
  <c r="C25" i="2"/>
  <c r="E23" i="30"/>
  <c r="F23" i="30"/>
  <c r="H23" i="30"/>
  <c r="G23" i="30"/>
  <c r="J23" i="39"/>
  <c r="G23" i="39"/>
  <c r="K23" i="39"/>
  <c r="F23" i="39"/>
  <c r="L23" i="39"/>
  <c r="E23" i="39"/>
  <c r="M23" i="39"/>
  <c r="N23" i="39"/>
  <c r="I23" i="39"/>
  <c r="H23" i="39"/>
  <c r="B33" i="10"/>
  <c r="B32" i="10"/>
  <c r="K15" i="10"/>
  <c r="N12" i="10" s="1"/>
  <c r="O23" i="39" l="1"/>
  <c r="C21" i="32" s="1"/>
  <c r="I23" i="30"/>
  <c r="K20" i="10"/>
  <c r="O12" i="10" s="1"/>
  <c r="P12" i="10" s="1"/>
  <c r="Q12" i="10" s="1"/>
  <c r="R12" i="10" s="1"/>
  <c r="S12" i="10" s="1"/>
  <c r="T12" i="10" s="1"/>
  <c r="U12" i="10" s="1"/>
  <c r="V12" i="10" s="1"/>
  <c r="W12" i="10" l="1"/>
  <c r="W13" i="10"/>
  <c r="N14" i="10"/>
  <c r="N18" i="10" s="1"/>
  <c r="X12" i="10" l="1"/>
  <c r="X13" i="10"/>
  <c r="N52" i="10"/>
  <c r="E11" i="42" s="1"/>
  <c r="E7" i="42"/>
  <c r="N47" i="10"/>
  <c r="N48" i="10" s="1"/>
  <c r="N20" i="10"/>
  <c r="N21" i="10" s="1"/>
  <c r="O24" i="10" s="1"/>
  <c r="K23" i="10"/>
  <c r="N15" i="10"/>
  <c r="N42" i="10" s="1"/>
  <c r="O14" i="10"/>
  <c r="O18" i="10" s="1"/>
  <c r="Y12" i="10" l="1"/>
  <c r="Y13" i="10"/>
  <c r="N56" i="10"/>
  <c r="N57" i="10" s="1"/>
  <c r="N58" i="10" s="1"/>
  <c r="N59" i="10" s="1"/>
  <c r="O52" i="10"/>
  <c r="F11" i="42" s="1"/>
  <c r="F7" i="42"/>
  <c r="N62" i="10"/>
  <c r="N63" i="10" s="1"/>
  <c r="N71" i="10"/>
  <c r="O43" i="10"/>
  <c r="E22" i="42" s="1"/>
  <c r="E15" i="42"/>
  <c r="E10" i="42"/>
  <c r="E21" i="42"/>
  <c r="N54" i="10"/>
  <c r="O47" i="10"/>
  <c r="O48" i="10" s="1"/>
  <c r="N49" i="10"/>
  <c r="N50" i="10" s="1"/>
  <c r="N51" i="10" s="1"/>
  <c r="O20" i="10"/>
  <c r="O21" i="10" s="1"/>
  <c r="P24" i="10" s="1"/>
  <c r="N19" i="10"/>
  <c r="C22" i="18"/>
  <c r="C9" i="18"/>
  <c r="N22" i="10"/>
  <c r="N23" i="10" s="1"/>
  <c r="P14" i="10"/>
  <c r="P18" i="10" s="1"/>
  <c r="O28" i="10" s="1"/>
  <c r="O15" i="10"/>
  <c r="O42" i="10" s="1"/>
  <c r="Z12" i="10" l="1"/>
  <c r="AB12" i="10"/>
  <c r="AL12" i="10" s="1"/>
  <c r="AL14" i="10" s="1"/>
  <c r="E7" i="44" s="1"/>
  <c r="E17" i="44" s="1"/>
  <c r="O19" i="10"/>
  <c r="N36" i="10"/>
  <c r="C28" i="2" s="1"/>
  <c r="N26" i="10"/>
  <c r="E25" i="42"/>
  <c r="N16" i="10"/>
  <c r="O17" i="10" s="1"/>
  <c r="D27" i="16" s="1"/>
  <c r="P52" i="10"/>
  <c r="G11" i="42" s="1"/>
  <c r="G7" i="42"/>
  <c r="N73" i="10"/>
  <c r="M89" i="10"/>
  <c r="F15" i="42"/>
  <c r="F10" i="42"/>
  <c r="O71" i="10"/>
  <c r="P43" i="10"/>
  <c r="F22" i="42" s="1"/>
  <c r="N60" i="10"/>
  <c r="N61" i="10" s="1"/>
  <c r="C30" i="16"/>
  <c r="C27" i="2"/>
  <c r="D9" i="18"/>
  <c r="C19" i="16"/>
  <c r="N67" i="10"/>
  <c r="O62" i="10"/>
  <c r="O63" i="10" s="1"/>
  <c r="O54" i="10"/>
  <c r="O56" i="10"/>
  <c r="O57" i="10" s="1"/>
  <c r="O16" i="10" s="1"/>
  <c r="P47" i="10"/>
  <c r="P48" i="10" s="1"/>
  <c r="O49" i="10"/>
  <c r="O50" i="10" s="1"/>
  <c r="O51" i="10" s="1"/>
  <c r="P20" i="10"/>
  <c r="P21" i="10" s="1"/>
  <c r="Q24" i="10" s="1"/>
  <c r="F21" i="42"/>
  <c r="C9" i="16"/>
  <c r="C9" i="2"/>
  <c r="D22" i="18"/>
  <c r="D23" i="16"/>
  <c r="D20" i="2"/>
  <c r="O22" i="10"/>
  <c r="O23" i="10" s="1"/>
  <c r="O26" i="10" s="1"/>
  <c r="Q14" i="10"/>
  <c r="Q18" i="10" s="1"/>
  <c r="P15" i="10"/>
  <c r="P42" i="10" s="1"/>
  <c r="AW12" i="10" l="1"/>
  <c r="AW14" i="10" s="1"/>
  <c r="AW28" i="10" s="1"/>
  <c r="AW53" i="10" s="1"/>
  <c r="AL18" i="10"/>
  <c r="AC12" i="10"/>
  <c r="Z14" i="10"/>
  <c r="Z28" i="10" s="1"/>
  <c r="Z29" i="10" s="1"/>
  <c r="AM45" i="10" s="1"/>
  <c r="P19" i="10"/>
  <c r="F25" i="42"/>
  <c r="D24" i="2"/>
  <c r="P71" i="10"/>
  <c r="Q43" i="10"/>
  <c r="G22" i="42" s="1"/>
  <c r="N89" i="10"/>
  <c r="N101" i="10" s="1"/>
  <c r="T8" i="40"/>
  <c r="O89" i="10"/>
  <c r="D21" i="40"/>
  <c r="M75" i="10"/>
  <c r="O73" i="10"/>
  <c r="M90" i="10"/>
  <c r="G15" i="42"/>
  <c r="G10" i="42"/>
  <c r="Q52" i="10"/>
  <c r="H11" i="42" s="1"/>
  <c r="H7" i="42"/>
  <c r="N65" i="10"/>
  <c r="C30" i="2" s="1"/>
  <c r="D30" i="16"/>
  <c r="D27" i="2"/>
  <c r="AW35" i="10"/>
  <c r="AW52" i="10"/>
  <c r="AW56" i="10" s="1"/>
  <c r="AW57" i="10" s="1"/>
  <c r="O58" i="10"/>
  <c r="C21" i="18"/>
  <c r="C23" i="18" s="1"/>
  <c r="C18" i="2"/>
  <c r="C21" i="16"/>
  <c r="O67" i="10"/>
  <c r="P62" i="10"/>
  <c r="P63" i="10" s="1"/>
  <c r="P54" i="10"/>
  <c r="P56" i="10"/>
  <c r="P57" i="10" s="1"/>
  <c r="P16" i="10" s="1"/>
  <c r="Q47" i="10"/>
  <c r="Q48" i="10" s="1"/>
  <c r="P49" i="10"/>
  <c r="P50" i="10" s="1"/>
  <c r="P51" i="10" s="1"/>
  <c r="Q20" i="10"/>
  <c r="Q21" i="10" s="1"/>
  <c r="R24" i="10" s="1"/>
  <c r="G21" i="42"/>
  <c r="E22" i="18"/>
  <c r="E9" i="18"/>
  <c r="D9" i="2"/>
  <c r="D9" i="16"/>
  <c r="C17" i="2"/>
  <c r="E20" i="2"/>
  <c r="E23" i="16"/>
  <c r="N38" i="10"/>
  <c r="O36" i="10"/>
  <c r="D28" i="2" s="1"/>
  <c r="O38" i="10"/>
  <c r="P22" i="10"/>
  <c r="P23" i="10" s="1"/>
  <c r="P26" i="10" s="1"/>
  <c r="Q15" i="10"/>
  <c r="Q42" i="10" s="1"/>
  <c r="R14" i="10"/>
  <c r="R18" i="10" s="1"/>
  <c r="AD12" i="10" l="1"/>
  <c r="AE12" i="10" s="1"/>
  <c r="AF12" i="10" s="1"/>
  <c r="AG12" i="10" s="1"/>
  <c r="AH12" i="10" s="1"/>
  <c r="AM12" i="10"/>
  <c r="Q19" i="10"/>
  <c r="P89" i="10"/>
  <c r="W8" i="40" s="1"/>
  <c r="G25" i="42"/>
  <c r="C33" i="16"/>
  <c r="V8" i="40"/>
  <c r="P90" i="10"/>
  <c r="W9" i="40" s="1"/>
  <c r="T9" i="40"/>
  <c r="O90" i="10"/>
  <c r="V9" i="40" s="1"/>
  <c r="U8" i="40"/>
  <c r="R52" i="10"/>
  <c r="I11" i="42" s="1"/>
  <c r="I7" i="42"/>
  <c r="E21" i="40"/>
  <c r="M76" i="10"/>
  <c r="Q71" i="10"/>
  <c r="R43" i="10"/>
  <c r="H22" i="42" s="1"/>
  <c r="H15" i="42"/>
  <c r="H10" i="42"/>
  <c r="C8" i="40"/>
  <c r="O75" i="10"/>
  <c r="N75" i="10"/>
  <c r="N87" i="10" s="1"/>
  <c r="P73" i="10"/>
  <c r="M91" i="10"/>
  <c r="E30" i="16"/>
  <c r="E27" i="2"/>
  <c r="O59" i="10"/>
  <c r="O60" i="10" s="1"/>
  <c r="O61" i="10" s="1"/>
  <c r="I57" i="10"/>
  <c r="P58" i="10"/>
  <c r="C8" i="18"/>
  <c r="C10" i="18" s="1"/>
  <c r="D17" i="2"/>
  <c r="D31" i="16"/>
  <c r="D20" i="18"/>
  <c r="P67" i="10"/>
  <c r="D18" i="2"/>
  <c r="D21" i="16"/>
  <c r="Q62" i="10"/>
  <c r="Q63" i="10" s="1"/>
  <c r="C31" i="2"/>
  <c r="Q56" i="10"/>
  <c r="Q57" i="10" s="1"/>
  <c r="Q16" i="10" s="1"/>
  <c r="Q54" i="10"/>
  <c r="R47" i="10"/>
  <c r="R48" i="10" s="1"/>
  <c r="Q49" i="10"/>
  <c r="Q50" i="10" s="1"/>
  <c r="Q51" i="10" s="1"/>
  <c r="R20" i="10"/>
  <c r="R21" i="10" s="1"/>
  <c r="S24" i="10" s="1"/>
  <c r="H21" i="42"/>
  <c r="F22" i="18"/>
  <c r="F9" i="18"/>
  <c r="E9" i="2"/>
  <c r="E9" i="16"/>
  <c r="D19" i="16"/>
  <c r="F23" i="16"/>
  <c r="F20" i="2"/>
  <c r="C31" i="16"/>
  <c r="P36" i="10"/>
  <c r="E28" i="2" s="1"/>
  <c r="P38" i="10"/>
  <c r="Q22" i="10"/>
  <c r="Q23" i="10" s="1"/>
  <c r="Q26" i="10" s="1"/>
  <c r="R15" i="10"/>
  <c r="R42" i="10" s="1"/>
  <c r="S14" i="10"/>
  <c r="S18" i="10" s="1"/>
  <c r="BG8" i="10" l="1"/>
  <c r="BH8" i="10" s="1"/>
  <c r="BI8" i="10" s="1"/>
  <c r="BJ8" i="10" s="1"/>
  <c r="BK8" i="10" s="1"/>
  <c r="BL8" i="10" s="1"/>
  <c r="BM8" i="10" s="1"/>
  <c r="AX12" i="10"/>
  <c r="AM14" i="10"/>
  <c r="R19" i="10"/>
  <c r="P75" i="10"/>
  <c r="F8" i="40" s="1"/>
  <c r="Q90" i="10"/>
  <c r="X9" i="40" s="1"/>
  <c r="O101" i="10"/>
  <c r="H25" i="42"/>
  <c r="E8" i="40"/>
  <c r="I15" i="42"/>
  <c r="I10" i="42"/>
  <c r="S52" i="10"/>
  <c r="J11" i="42" s="1"/>
  <c r="J7" i="42"/>
  <c r="C10" i="2"/>
  <c r="U20" i="40"/>
  <c r="C10" i="16"/>
  <c r="P91" i="10"/>
  <c r="W10" i="40" s="1"/>
  <c r="Q91" i="10"/>
  <c r="X10" i="40" s="1"/>
  <c r="T10" i="40"/>
  <c r="F21" i="40"/>
  <c r="M77" i="10"/>
  <c r="Q73" i="10"/>
  <c r="M92" i="10"/>
  <c r="R71" i="10"/>
  <c r="S43" i="10"/>
  <c r="I22" i="42" s="1"/>
  <c r="D8" i="40"/>
  <c r="D20" i="40" s="1"/>
  <c r="C9" i="40"/>
  <c r="P76" i="10"/>
  <c r="F9" i="40" s="1"/>
  <c r="O76" i="10"/>
  <c r="E9" i="40" s="1"/>
  <c r="F30" i="16"/>
  <c r="F27" i="2"/>
  <c r="O65" i="10"/>
  <c r="D30" i="2" s="1"/>
  <c r="P17" i="10"/>
  <c r="E27" i="16" s="1"/>
  <c r="D12" i="28"/>
  <c r="B5" i="28"/>
  <c r="P59" i="10"/>
  <c r="P60" i="10" s="1"/>
  <c r="P61" i="10" s="1"/>
  <c r="Q17" i="10"/>
  <c r="F27" i="16" s="1"/>
  <c r="Q58" i="10"/>
  <c r="E31" i="16"/>
  <c r="E19" i="16"/>
  <c r="D7" i="18"/>
  <c r="Q67" i="10"/>
  <c r="E18" i="2"/>
  <c r="E21" i="16"/>
  <c r="R62" i="10"/>
  <c r="R63" i="10" s="1"/>
  <c r="C34" i="16"/>
  <c r="R54" i="10"/>
  <c r="R56" i="10"/>
  <c r="R57" i="10" s="1"/>
  <c r="R16" i="10" s="1"/>
  <c r="S47" i="10"/>
  <c r="S48" i="10" s="1"/>
  <c r="R49" i="10"/>
  <c r="R50" i="10" s="1"/>
  <c r="R51" i="10" s="1"/>
  <c r="S20" i="10"/>
  <c r="S21" i="10" s="1"/>
  <c r="T24" i="10" s="1"/>
  <c r="D21" i="18"/>
  <c r="D23" i="18" s="1"/>
  <c r="D8" i="18"/>
  <c r="G22" i="18"/>
  <c r="G9" i="18"/>
  <c r="I21" i="42"/>
  <c r="F9" i="16"/>
  <c r="F9" i="2"/>
  <c r="E17" i="2"/>
  <c r="G20" i="2"/>
  <c r="G23" i="16"/>
  <c r="Q36" i="10"/>
  <c r="F28" i="2" s="1"/>
  <c r="Q38" i="10"/>
  <c r="R22" i="10"/>
  <c r="R23" i="10" s="1"/>
  <c r="R26" i="10" s="1"/>
  <c r="S15" i="10"/>
  <c r="S42" i="10" s="1"/>
  <c r="T14" i="10"/>
  <c r="F7" i="44" l="1"/>
  <c r="F17" i="44" s="1"/>
  <c r="AM18" i="10"/>
  <c r="AL19" i="10" s="1"/>
  <c r="C19" i="37" s="1"/>
  <c r="AY12" i="10"/>
  <c r="AX14" i="10"/>
  <c r="Q76" i="10"/>
  <c r="G9" i="40" s="1"/>
  <c r="R91" i="10"/>
  <c r="Y10" i="40" s="1"/>
  <c r="K7" i="42"/>
  <c r="K15" i="42" s="1"/>
  <c r="T18" i="10"/>
  <c r="C13" i="2"/>
  <c r="C33" i="2" s="1"/>
  <c r="C37" i="2" s="1"/>
  <c r="D10" i="18"/>
  <c r="P101" i="10"/>
  <c r="O87" i="10"/>
  <c r="I25" i="42"/>
  <c r="T11" i="40"/>
  <c r="Q92" i="10"/>
  <c r="Q101" i="10" s="1"/>
  <c r="R92" i="10"/>
  <c r="Y11" i="40" s="1"/>
  <c r="G21" i="40"/>
  <c r="M78" i="10"/>
  <c r="D10" i="16"/>
  <c r="D10" i="2"/>
  <c r="V20" i="40"/>
  <c r="C10" i="40"/>
  <c r="P77" i="10"/>
  <c r="F10" i="40" s="1"/>
  <c r="F20" i="40" s="1"/>
  <c r="Q77" i="10"/>
  <c r="G10" i="40" s="1"/>
  <c r="S71" i="10"/>
  <c r="T43" i="10"/>
  <c r="J22" i="42" s="1"/>
  <c r="R73" i="10"/>
  <c r="M93" i="10"/>
  <c r="J15" i="42"/>
  <c r="J10" i="42"/>
  <c r="E20" i="40"/>
  <c r="T52" i="10"/>
  <c r="G30" i="16"/>
  <c r="G27" i="2"/>
  <c r="F31" i="16"/>
  <c r="D33" i="16"/>
  <c r="P65" i="10"/>
  <c r="E24" i="2"/>
  <c r="Q59" i="10"/>
  <c r="Q60" i="10" s="1"/>
  <c r="Q61" i="10" s="1"/>
  <c r="R17" i="10"/>
  <c r="G27" i="16" s="1"/>
  <c r="T28" i="10"/>
  <c r="F24" i="2"/>
  <c r="E21" i="18"/>
  <c r="R58" i="10"/>
  <c r="E8" i="18"/>
  <c r="E20" i="18"/>
  <c r="R67" i="10"/>
  <c r="F21" i="16"/>
  <c r="F18" i="2"/>
  <c r="S62" i="10"/>
  <c r="S63" i="10" s="1"/>
  <c r="S54" i="10"/>
  <c r="S56" i="10"/>
  <c r="S57" i="10" s="1"/>
  <c r="S16" i="10" s="1"/>
  <c r="S49" i="10"/>
  <c r="S50" i="10" s="1"/>
  <c r="S51" i="10" s="1"/>
  <c r="H22" i="18"/>
  <c r="H9" i="18"/>
  <c r="J21" i="42"/>
  <c r="G9" i="16"/>
  <c r="G9" i="2"/>
  <c r="H20" i="2"/>
  <c r="I20" i="2" s="1"/>
  <c r="H23" i="16"/>
  <c r="F19" i="16"/>
  <c r="F17" i="2"/>
  <c r="R38" i="10"/>
  <c r="R36" i="10"/>
  <c r="G28" i="2" s="1"/>
  <c r="T20" i="10"/>
  <c r="T21" i="10" s="1"/>
  <c r="U24" i="10" s="1"/>
  <c r="S22" i="10"/>
  <c r="S23" i="10" s="1"/>
  <c r="S26" i="10" s="1"/>
  <c r="I23" i="16"/>
  <c r="T15" i="10"/>
  <c r="T42" i="10" s="1"/>
  <c r="U14" i="10"/>
  <c r="AX52" i="10" l="1"/>
  <c r="AX28" i="10"/>
  <c r="AZ12" i="10"/>
  <c r="AY13" i="10"/>
  <c r="S19" i="10"/>
  <c r="R77" i="10"/>
  <c r="H10" i="40" s="1"/>
  <c r="S92" i="10"/>
  <c r="Z11" i="40" s="1"/>
  <c r="L7" i="42"/>
  <c r="L15" i="42" s="1"/>
  <c r="U18" i="10"/>
  <c r="P87" i="10"/>
  <c r="J25" i="42"/>
  <c r="S93" i="10"/>
  <c r="Z12" i="40" s="1"/>
  <c r="T12" i="40"/>
  <c r="R93" i="10"/>
  <c r="R101" i="10" s="1"/>
  <c r="R78" i="10"/>
  <c r="H11" i="40" s="1"/>
  <c r="Q78" i="10"/>
  <c r="Q87" i="10" s="1"/>
  <c r="C11" i="40"/>
  <c r="T71" i="10"/>
  <c r="M95" i="10" s="1"/>
  <c r="U43" i="10"/>
  <c r="K22" i="42" s="1"/>
  <c r="T54" i="10"/>
  <c r="K13" i="42"/>
  <c r="K11" i="42"/>
  <c r="K10" i="42" s="1"/>
  <c r="H21" i="40"/>
  <c r="M79" i="10"/>
  <c r="X11" i="40"/>
  <c r="E10" i="16"/>
  <c r="W20" i="40"/>
  <c r="E10" i="2"/>
  <c r="S73" i="10"/>
  <c r="M94" i="10"/>
  <c r="T53" i="10"/>
  <c r="T55" i="10" s="1"/>
  <c r="K8" i="42"/>
  <c r="T47" i="10"/>
  <c r="T48" i="10" s="1"/>
  <c r="T49" i="10" s="1"/>
  <c r="T50" i="10" s="1"/>
  <c r="T51" i="10" s="1"/>
  <c r="U52" i="10"/>
  <c r="H30" i="16"/>
  <c r="H27" i="2"/>
  <c r="I27" i="2" s="1"/>
  <c r="E33" i="16"/>
  <c r="E30" i="2"/>
  <c r="Q65" i="10"/>
  <c r="U28" i="10"/>
  <c r="R59" i="10"/>
  <c r="R60" i="10" s="1"/>
  <c r="R61" i="10" s="1"/>
  <c r="S17" i="10"/>
  <c r="H24" i="2" s="1"/>
  <c r="G24" i="2"/>
  <c r="E23" i="18"/>
  <c r="S58" i="10"/>
  <c r="T17" i="10" s="1"/>
  <c r="D35" i="2"/>
  <c r="G31" i="16"/>
  <c r="G19" i="16"/>
  <c r="E7" i="18"/>
  <c r="S67" i="10"/>
  <c r="G21" i="16"/>
  <c r="G18" i="2"/>
  <c r="F8" i="18"/>
  <c r="T62" i="10"/>
  <c r="T63" i="10" s="1"/>
  <c r="H9" i="16"/>
  <c r="H9" i="2"/>
  <c r="G17" i="2"/>
  <c r="I22" i="18"/>
  <c r="F21" i="18"/>
  <c r="T35" i="10"/>
  <c r="T31" i="10"/>
  <c r="S36" i="10"/>
  <c r="H28" i="2" s="1"/>
  <c r="S38" i="10"/>
  <c r="T30" i="10"/>
  <c r="C33" i="18" s="1"/>
  <c r="T29" i="10"/>
  <c r="T44" i="10" s="1"/>
  <c r="U20" i="10"/>
  <c r="U21" i="10" s="1"/>
  <c r="V24" i="10" s="1"/>
  <c r="J23" i="16"/>
  <c r="T22" i="10"/>
  <c r="T23" i="10" s="1"/>
  <c r="T26" i="10" s="1"/>
  <c r="U15" i="10"/>
  <c r="U42" i="10" s="1"/>
  <c r="V14" i="10"/>
  <c r="AY16" i="10" l="1"/>
  <c r="AY14" i="10"/>
  <c r="AY27" i="10" s="1"/>
  <c r="BA12" i="10"/>
  <c r="AZ13" i="10"/>
  <c r="AX35" i="10"/>
  <c r="AX53" i="10"/>
  <c r="AX56" i="10" s="1"/>
  <c r="AX57" i="10" s="1"/>
  <c r="T19" i="10"/>
  <c r="I19" i="16" s="1"/>
  <c r="S78" i="10"/>
  <c r="I11" i="40" s="1"/>
  <c r="T93" i="10"/>
  <c r="AA12" i="40" s="1"/>
  <c r="M7" i="42"/>
  <c r="M15" i="42" s="1"/>
  <c r="V18" i="10"/>
  <c r="E10" i="18"/>
  <c r="F7" i="18" s="1"/>
  <c r="F10" i="18" s="1"/>
  <c r="G7" i="18" s="1"/>
  <c r="K16" i="42"/>
  <c r="K12" i="42"/>
  <c r="C12" i="40"/>
  <c r="S79" i="10"/>
  <c r="I12" i="40" s="1"/>
  <c r="R79" i="10"/>
  <c r="H12" i="40" s="1"/>
  <c r="H20" i="40" s="1"/>
  <c r="G11" i="40"/>
  <c r="G20" i="40" s="1"/>
  <c r="F10" i="16"/>
  <c r="X20" i="40"/>
  <c r="F10" i="2"/>
  <c r="U71" i="10"/>
  <c r="M96" i="10" s="1"/>
  <c r="V43" i="10"/>
  <c r="L22" i="42" s="1"/>
  <c r="T13" i="40"/>
  <c r="T94" i="10"/>
  <c r="AA13" i="40" s="1"/>
  <c r="S94" i="10"/>
  <c r="S101" i="10" s="1"/>
  <c r="Y12" i="40"/>
  <c r="I9" i="16"/>
  <c r="K21" i="42"/>
  <c r="U54" i="10"/>
  <c r="L11" i="42"/>
  <c r="L10" i="42" s="1"/>
  <c r="L13" i="42"/>
  <c r="I21" i="40"/>
  <c r="M80" i="10"/>
  <c r="T14" i="40"/>
  <c r="T95" i="10"/>
  <c r="AA14" i="40" s="1"/>
  <c r="U95" i="10"/>
  <c r="AB14" i="40" s="1"/>
  <c r="T56" i="10"/>
  <c r="T57" i="10" s="1"/>
  <c r="T58" i="10" s="1"/>
  <c r="T59" i="10" s="1"/>
  <c r="T60" i="10" s="1"/>
  <c r="U53" i="10"/>
  <c r="U55" i="10" s="1"/>
  <c r="L8" i="42"/>
  <c r="K23" i="42"/>
  <c r="T72" i="10"/>
  <c r="U45" i="10"/>
  <c r="K24" i="42" s="1"/>
  <c r="V52" i="10"/>
  <c r="U47" i="10"/>
  <c r="U48" i="10" s="1"/>
  <c r="U49" i="10" s="1"/>
  <c r="U50" i="10" s="1"/>
  <c r="U51" i="10" s="1"/>
  <c r="I30" i="16"/>
  <c r="F33" i="16"/>
  <c r="F30" i="2"/>
  <c r="F20" i="18"/>
  <c r="F23" i="18" s="1"/>
  <c r="R65" i="10"/>
  <c r="H27" i="16"/>
  <c r="V28" i="10"/>
  <c r="G21" i="18"/>
  <c r="I27" i="16"/>
  <c r="I24" i="2"/>
  <c r="S59" i="10"/>
  <c r="S60" i="10" s="1"/>
  <c r="S65" i="10" s="1"/>
  <c r="H30" i="2" s="1"/>
  <c r="G8" i="18"/>
  <c r="H17" i="2"/>
  <c r="I17" i="2" s="1"/>
  <c r="H31" i="16"/>
  <c r="H21" i="16"/>
  <c r="H18" i="2"/>
  <c r="I18" i="2" s="1"/>
  <c r="T67" i="10"/>
  <c r="I21" i="16" s="1"/>
  <c r="U62" i="10"/>
  <c r="U63" i="10" s="1"/>
  <c r="I9" i="18"/>
  <c r="I9" i="2"/>
  <c r="J22" i="18"/>
  <c r="H19" i="16"/>
  <c r="U35" i="10"/>
  <c r="U31" i="10"/>
  <c r="T33" i="10"/>
  <c r="T34" i="10" s="1"/>
  <c r="T32" i="10"/>
  <c r="U29" i="10"/>
  <c r="U44" i="10" s="1"/>
  <c r="U30" i="10"/>
  <c r="V20" i="10"/>
  <c r="V21" i="10" s="1"/>
  <c r="W24" i="10" s="1"/>
  <c r="K23" i="16"/>
  <c r="U22" i="10"/>
  <c r="U23" i="10" s="1"/>
  <c r="U26" i="10" s="1"/>
  <c r="V15" i="10"/>
  <c r="V42" i="10" s="1"/>
  <c r="W14" i="10"/>
  <c r="AZ16" i="10" l="1"/>
  <c r="AZ14" i="10"/>
  <c r="AZ27" i="10" s="1"/>
  <c r="BB12" i="10"/>
  <c r="BB13" i="10" s="1"/>
  <c r="BA13" i="10"/>
  <c r="U19" i="10"/>
  <c r="J19" i="16" s="1"/>
  <c r="T79" i="10"/>
  <c r="J12" i="40" s="1"/>
  <c r="U94" i="10"/>
  <c r="AB13" i="40" s="1"/>
  <c r="V95" i="10"/>
  <c r="AC14" i="40" s="1"/>
  <c r="J9" i="18"/>
  <c r="D33" i="18"/>
  <c r="N7" i="42"/>
  <c r="N15" i="42" s="1"/>
  <c r="W18" i="10"/>
  <c r="G10" i="18"/>
  <c r="H7" i="18" s="1"/>
  <c r="R87" i="10"/>
  <c r="T101" i="10"/>
  <c r="K25" i="42"/>
  <c r="L12" i="42"/>
  <c r="L16" i="42"/>
  <c r="M13" i="42"/>
  <c r="M11" i="42"/>
  <c r="M10" i="42" s="1"/>
  <c r="G10" i="16"/>
  <c r="Y20" i="40"/>
  <c r="G10" i="2"/>
  <c r="C13" i="40"/>
  <c r="T80" i="10"/>
  <c r="J13" i="40" s="1"/>
  <c r="S80" i="10"/>
  <c r="S87" i="10" s="1"/>
  <c r="V96" i="10"/>
  <c r="AC15" i="40" s="1"/>
  <c r="U96" i="10"/>
  <c r="AB15" i="40" s="1"/>
  <c r="T15" i="40"/>
  <c r="J9" i="16"/>
  <c r="L21" i="42"/>
  <c r="V71" i="10"/>
  <c r="M97" i="10" s="1"/>
  <c r="W43" i="10"/>
  <c r="M22" i="42" s="1"/>
  <c r="V54" i="10"/>
  <c r="Z13" i="40"/>
  <c r="T16" i="10"/>
  <c r="U17" i="10" s="1"/>
  <c r="J27" i="16" s="1"/>
  <c r="U56" i="10"/>
  <c r="U57" i="10" s="1"/>
  <c r="U16" i="10" s="1"/>
  <c r="I11" i="16"/>
  <c r="V53" i="10"/>
  <c r="V56" i="10" s="1"/>
  <c r="V57" i="10" s="1"/>
  <c r="M8" i="42"/>
  <c r="T73" i="10"/>
  <c r="M110" i="10"/>
  <c r="U72" i="10"/>
  <c r="V45" i="10"/>
  <c r="L24" i="42" s="1"/>
  <c r="W52" i="10"/>
  <c r="T36" i="10"/>
  <c r="T37" i="10" s="1"/>
  <c r="T38" i="10" s="1"/>
  <c r="V47" i="10"/>
  <c r="V48" i="10" s="1"/>
  <c r="V49" i="10" s="1"/>
  <c r="V50" i="10" s="1"/>
  <c r="V51" i="10" s="1"/>
  <c r="J30" i="16"/>
  <c r="G33" i="16"/>
  <c r="G30" i="2"/>
  <c r="W28" i="10"/>
  <c r="T40" i="10"/>
  <c r="C32" i="18" s="1"/>
  <c r="S61" i="10"/>
  <c r="G20" i="18"/>
  <c r="G23" i="18" s="1"/>
  <c r="H20" i="18" s="1"/>
  <c r="U67" i="10"/>
  <c r="J21" i="16" s="1"/>
  <c r="T65" i="10"/>
  <c r="I33" i="16" s="1"/>
  <c r="T61" i="10"/>
  <c r="H33" i="16"/>
  <c r="V62" i="10"/>
  <c r="V63" i="10" s="1"/>
  <c r="I21" i="18"/>
  <c r="K22" i="18"/>
  <c r="H21" i="18"/>
  <c r="H8" i="18"/>
  <c r="I28" i="2"/>
  <c r="V35" i="10"/>
  <c r="V31" i="10"/>
  <c r="U32" i="10"/>
  <c r="V30" i="10"/>
  <c r="E33" i="18" s="1"/>
  <c r="V29" i="10"/>
  <c r="V44" i="10" s="1"/>
  <c r="W20" i="10"/>
  <c r="W21" i="10" s="1"/>
  <c r="X24" i="10" s="1"/>
  <c r="V22" i="10"/>
  <c r="V23" i="10" s="1"/>
  <c r="V26" i="10" s="1"/>
  <c r="L23" i="16"/>
  <c r="W15" i="10"/>
  <c r="W42" i="10" s="1"/>
  <c r="X14" i="10"/>
  <c r="BA16" i="10" l="1"/>
  <c r="BA14" i="10"/>
  <c r="BA27" i="10" s="1"/>
  <c r="BB16" i="10"/>
  <c r="BB14" i="10"/>
  <c r="BB27" i="10" s="1"/>
  <c r="V19" i="10"/>
  <c r="K19" i="16" s="1"/>
  <c r="W96" i="10"/>
  <c r="AD15" i="40" s="1"/>
  <c r="U80" i="10"/>
  <c r="K13" i="40" s="1"/>
  <c r="C34" i="18"/>
  <c r="O7" i="42"/>
  <c r="O15" i="42" s="1"/>
  <c r="X18" i="10"/>
  <c r="H10" i="18"/>
  <c r="I7" i="18" s="1"/>
  <c r="U101" i="10"/>
  <c r="U58" i="10"/>
  <c r="U59" i="10" s="1"/>
  <c r="U60" i="10" s="1"/>
  <c r="U61" i="10" s="1"/>
  <c r="M16" i="42"/>
  <c r="M12" i="42"/>
  <c r="H10" i="2"/>
  <c r="Z20" i="40"/>
  <c r="H10" i="16"/>
  <c r="I13" i="40"/>
  <c r="I20" i="40" s="1"/>
  <c r="W71" i="10"/>
  <c r="M98" i="10" s="1"/>
  <c r="X43" i="10"/>
  <c r="N22" i="42" s="1"/>
  <c r="W54" i="10"/>
  <c r="N11" i="42"/>
  <c r="N10" i="42" s="1"/>
  <c r="N13" i="42"/>
  <c r="W97" i="10"/>
  <c r="AD16" i="40" s="1"/>
  <c r="V97" i="10"/>
  <c r="AC16" i="40" s="1"/>
  <c r="T16" i="40"/>
  <c r="K9" i="16"/>
  <c r="M21" i="42"/>
  <c r="AA20" i="40"/>
  <c r="I10" i="16"/>
  <c r="V55" i="10"/>
  <c r="U73" i="10"/>
  <c r="M111" i="10"/>
  <c r="J21" i="40"/>
  <c r="M81" i="10"/>
  <c r="T110" i="10"/>
  <c r="T116" i="10" s="1"/>
  <c r="T37" i="40"/>
  <c r="U110" i="10"/>
  <c r="W53" i="10"/>
  <c r="W56" i="10" s="1"/>
  <c r="W57" i="10" s="1"/>
  <c r="N8" i="42"/>
  <c r="J11" i="16"/>
  <c r="L23" i="42"/>
  <c r="L25" i="42" s="1"/>
  <c r="V72" i="10"/>
  <c r="W45" i="10"/>
  <c r="M24" i="42" s="1"/>
  <c r="I31" i="16"/>
  <c r="W47" i="10"/>
  <c r="W48" i="10" s="1"/>
  <c r="W49" i="10" s="1"/>
  <c r="W50" i="10" s="1"/>
  <c r="W51" i="10" s="1"/>
  <c r="X52" i="10"/>
  <c r="K30" i="16"/>
  <c r="I8" i="18"/>
  <c r="I20" i="16"/>
  <c r="I30" i="2"/>
  <c r="V16" i="10"/>
  <c r="V17" i="10"/>
  <c r="K27" i="16" s="1"/>
  <c r="X28" i="10"/>
  <c r="AB14" i="10"/>
  <c r="H23" i="18"/>
  <c r="V67" i="10"/>
  <c r="K21" i="16" s="1"/>
  <c r="W62" i="10"/>
  <c r="W63" i="10" s="1"/>
  <c r="K9" i="18"/>
  <c r="L22" i="18"/>
  <c r="J21" i="18"/>
  <c r="Y14" i="10"/>
  <c r="Z18" i="10"/>
  <c r="Z19" i="10" s="1"/>
  <c r="U40" i="10"/>
  <c r="D32" i="18" s="1"/>
  <c r="W35" i="10"/>
  <c r="W31" i="10"/>
  <c r="U33" i="10"/>
  <c r="U34" i="10" s="1"/>
  <c r="V32" i="10"/>
  <c r="W29" i="10"/>
  <c r="W44" i="10" s="1"/>
  <c r="W30" i="10"/>
  <c r="F33" i="18" s="1"/>
  <c r="X20" i="10"/>
  <c r="X21" i="10" s="1"/>
  <c r="Y24" i="10" s="1"/>
  <c r="W22" i="10"/>
  <c r="W23" i="10" s="1"/>
  <c r="W26" i="10" s="1"/>
  <c r="M23" i="16"/>
  <c r="X15" i="10"/>
  <c r="X42" i="10" s="1"/>
  <c r="W19" i="10" l="1"/>
  <c r="L19" i="16" s="1"/>
  <c r="X97" i="10"/>
  <c r="AE16" i="40" s="1"/>
  <c r="V110" i="10"/>
  <c r="AC37" i="40" s="1"/>
  <c r="D31" i="18"/>
  <c r="D34" i="18" s="1"/>
  <c r="E31" i="18" s="1"/>
  <c r="P7" i="42"/>
  <c r="P15" i="42" s="1"/>
  <c r="Y18" i="10"/>
  <c r="Y19" i="10" s="1"/>
  <c r="I10" i="18"/>
  <c r="J7" i="18" s="1"/>
  <c r="V101" i="10"/>
  <c r="AC20" i="40" s="1"/>
  <c r="U65" i="10"/>
  <c r="J33" i="16" s="1"/>
  <c r="V58" i="10"/>
  <c r="V59" i="10" s="1"/>
  <c r="V60" i="10" s="1"/>
  <c r="V61" i="10" s="1"/>
  <c r="N12" i="42"/>
  <c r="I10" i="2"/>
  <c r="N16" i="42"/>
  <c r="L9" i="16"/>
  <c r="N21" i="42"/>
  <c r="X98" i="10"/>
  <c r="AE17" i="40" s="1"/>
  <c r="W98" i="10"/>
  <c r="AD17" i="40" s="1"/>
  <c r="T17" i="40"/>
  <c r="X71" i="10"/>
  <c r="M99" i="10" s="1"/>
  <c r="Y43" i="10"/>
  <c r="O22" i="42" s="1"/>
  <c r="O11" i="42"/>
  <c r="O10" i="42" s="1"/>
  <c r="O13" i="42"/>
  <c r="AB20" i="40"/>
  <c r="J10" i="16"/>
  <c r="W55" i="10"/>
  <c r="K11" i="16"/>
  <c r="M23" i="42"/>
  <c r="M25" i="42" s="1"/>
  <c r="AA37" i="40"/>
  <c r="AB37" i="40"/>
  <c r="U81" i="10"/>
  <c r="T81" i="10"/>
  <c r="T87" i="10" s="1"/>
  <c r="C14" i="40"/>
  <c r="T38" i="40"/>
  <c r="V111" i="10"/>
  <c r="U111" i="10"/>
  <c r="U116" i="10" s="1"/>
  <c r="W72" i="10"/>
  <c r="X45" i="10"/>
  <c r="N24" i="42" s="1"/>
  <c r="X53" i="10"/>
  <c r="X55" i="10" s="1"/>
  <c r="O8" i="42"/>
  <c r="V73" i="10"/>
  <c r="M112" i="10"/>
  <c r="K21" i="40"/>
  <c r="M82" i="10"/>
  <c r="U36" i="10"/>
  <c r="J31" i="16" s="1"/>
  <c r="X47" i="10"/>
  <c r="X48" i="10" s="1"/>
  <c r="X54" i="10"/>
  <c r="Y52" i="10"/>
  <c r="L30" i="16"/>
  <c r="J8" i="18"/>
  <c r="J20" i="16"/>
  <c r="W16" i="10"/>
  <c r="Y28" i="10"/>
  <c r="W17" i="10"/>
  <c r="L27" i="16" s="1"/>
  <c r="AL15" i="10"/>
  <c r="AB28" i="10"/>
  <c r="AB47" i="10" s="1"/>
  <c r="AC14" i="10"/>
  <c r="AB52" i="10"/>
  <c r="AB20" i="10"/>
  <c r="AL20" i="10" s="1"/>
  <c r="AB18" i="10"/>
  <c r="AB15" i="10"/>
  <c r="AC43" i="10" s="1"/>
  <c r="I20" i="18"/>
  <c r="I23" i="18" s="1"/>
  <c r="J20" i="18" s="1"/>
  <c r="J23" i="18" s="1"/>
  <c r="K20" i="18" s="1"/>
  <c r="W67" i="10"/>
  <c r="L21" i="16" s="1"/>
  <c r="X62" i="10"/>
  <c r="X63" i="10" s="1"/>
  <c r="Y15" i="10"/>
  <c r="AL71" i="10" s="1"/>
  <c r="L9" i="18"/>
  <c r="K21" i="18"/>
  <c r="Y20" i="10"/>
  <c r="Y21" i="10" s="1"/>
  <c r="Z24" i="10" s="1"/>
  <c r="C28" i="13" s="1"/>
  <c r="M22" i="18"/>
  <c r="V40" i="10"/>
  <c r="Z15" i="10"/>
  <c r="AM43" i="10" s="1"/>
  <c r="Z30" i="10"/>
  <c r="Z40" i="10" s="1"/>
  <c r="X35" i="10"/>
  <c r="X31" i="10"/>
  <c r="V33" i="10"/>
  <c r="V34" i="10" s="1"/>
  <c r="V36" i="10" s="1"/>
  <c r="W32" i="10"/>
  <c r="X29" i="10"/>
  <c r="X44" i="10" s="1"/>
  <c r="X30" i="10"/>
  <c r="G33" i="18" s="1"/>
  <c r="X22" i="10"/>
  <c r="X23" i="10" s="1"/>
  <c r="X26" i="10" s="1"/>
  <c r="N23" i="16"/>
  <c r="X19" i="10" l="1"/>
  <c r="M19" i="16" s="1"/>
  <c r="AL42" i="10"/>
  <c r="C7" i="30" s="1"/>
  <c r="AM71" i="10"/>
  <c r="AJ93" i="10" s="1"/>
  <c r="AJ90" i="10"/>
  <c r="T8" i="41" s="1"/>
  <c r="W111" i="10"/>
  <c r="AD38" i="40" s="1"/>
  <c r="Y98" i="10"/>
  <c r="AF17" i="40" s="1"/>
  <c r="V81" i="10"/>
  <c r="L14" i="40" s="1"/>
  <c r="Y42" i="10"/>
  <c r="AL43" i="10"/>
  <c r="E24" i="44" s="1"/>
  <c r="K20" i="16"/>
  <c r="E32" i="18"/>
  <c r="E34" i="18" s="1"/>
  <c r="Q7" i="42"/>
  <c r="Q15" i="42" s="1"/>
  <c r="W101" i="10"/>
  <c r="J10" i="18"/>
  <c r="K7" i="18" s="1"/>
  <c r="V65" i="10"/>
  <c r="K33" i="16" s="1"/>
  <c r="W58" i="10"/>
  <c r="W59" i="10" s="1"/>
  <c r="W60" i="10" s="1"/>
  <c r="W61" i="10" s="1"/>
  <c r="O12" i="42"/>
  <c r="K10" i="16"/>
  <c r="O16" i="42"/>
  <c r="X99" i="10"/>
  <c r="AE18" i="40" s="1"/>
  <c r="Y99" i="10"/>
  <c r="AF18" i="40" s="1"/>
  <c r="T18" i="40"/>
  <c r="M9" i="16"/>
  <c r="O21" i="42"/>
  <c r="Y71" i="10"/>
  <c r="M100" i="10" s="1"/>
  <c r="AJ92" i="10"/>
  <c r="Z43" i="10"/>
  <c r="P22" i="42" s="1"/>
  <c r="Q22" i="42" s="1"/>
  <c r="P13" i="42"/>
  <c r="Q13" i="42" s="1"/>
  <c r="P11" i="42"/>
  <c r="U37" i="10"/>
  <c r="U38" i="10" s="1"/>
  <c r="X56" i="10"/>
  <c r="X57" i="10" s="1"/>
  <c r="X16" i="10" s="1"/>
  <c r="J12" i="16"/>
  <c r="AB43" i="40"/>
  <c r="K14" i="40"/>
  <c r="U82" i="10"/>
  <c r="K15" i="40" s="1"/>
  <c r="V82" i="10"/>
  <c r="L15" i="40" s="1"/>
  <c r="C15" i="40"/>
  <c r="M113" i="10"/>
  <c r="W73" i="10"/>
  <c r="AA43" i="40"/>
  <c r="I12" i="16"/>
  <c r="Y53" i="10"/>
  <c r="Y55" i="10" s="1"/>
  <c r="P8" i="42"/>
  <c r="AC38" i="40"/>
  <c r="AB38" i="40"/>
  <c r="V112" i="10"/>
  <c r="V116" i="10" s="1"/>
  <c r="W112" i="10"/>
  <c r="T39" i="40"/>
  <c r="X72" i="10"/>
  <c r="Y45" i="10"/>
  <c r="O24" i="42" s="1"/>
  <c r="L11" i="16"/>
  <c r="N23" i="42"/>
  <c r="N25" i="42" s="1"/>
  <c r="L21" i="40"/>
  <c r="M83" i="10"/>
  <c r="J14" i="40"/>
  <c r="J20" i="40" s="1"/>
  <c r="X49" i="10"/>
  <c r="X50" i="10" s="1"/>
  <c r="Y47" i="10"/>
  <c r="Y48" i="10" s="1"/>
  <c r="Y54" i="10"/>
  <c r="K8" i="18"/>
  <c r="X17" i="10"/>
  <c r="M27" i="16" s="1"/>
  <c r="AC28" i="10"/>
  <c r="AC53" i="10" s="1"/>
  <c r="N19" i="16"/>
  <c r="Z20" i="10"/>
  <c r="AL52" i="10"/>
  <c r="E12" i="44" s="1"/>
  <c r="E10" i="44" s="1"/>
  <c r="AB43" i="10"/>
  <c r="C8" i="25" s="1"/>
  <c r="F24" i="44"/>
  <c r="C20" i="37"/>
  <c r="AL28" i="10"/>
  <c r="AM15" i="10"/>
  <c r="AM42" i="10" s="1"/>
  <c r="AC52" i="10"/>
  <c r="AB62" i="10"/>
  <c r="AB63" i="10" s="1"/>
  <c r="AB35" i="10"/>
  <c r="AB29" i="10"/>
  <c r="AB30" i="10"/>
  <c r="AB53" i="10"/>
  <c r="AB31" i="10"/>
  <c r="AL31" i="10" s="1"/>
  <c r="AB21" i="10"/>
  <c r="AB24" i="10"/>
  <c r="AB42" i="10"/>
  <c r="AD14" i="10"/>
  <c r="AC20" i="10"/>
  <c r="AM20" i="10" s="1"/>
  <c r="AC18" i="10"/>
  <c r="AC15" i="10"/>
  <c r="X67" i="10"/>
  <c r="M21" i="16" s="1"/>
  <c r="Y62" i="10"/>
  <c r="Y63" i="10" s="1"/>
  <c r="Y35" i="10"/>
  <c r="K23" i="18"/>
  <c r="L20" i="18" s="1"/>
  <c r="L21" i="18"/>
  <c r="N22" i="18"/>
  <c r="O22" i="18" s="1"/>
  <c r="M9" i="18"/>
  <c r="Y30" i="10"/>
  <c r="H33" i="18" s="1"/>
  <c r="I33" i="18" s="1"/>
  <c r="Y31" i="10"/>
  <c r="Y29" i="10"/>
  <c r="W40" i="10"/>
  <c r="K31" i="16"/>
  <c r="V37" i="10"/>
  <c r="V38" i="10" s="1"/>
  <c r="X32" i="10"/>
  <c r="W33" i="10"/>
  <c r="W34" i="10" s="1"/>
  <c r="W36" i="10" s="1"/>
  <c r="Y22" i="10"/>
  <c r="Y23" i="10" s="1"/>
  <c r="Y26" i="10" s="1"/>
  <c r="M30" i="16" l="1"/>
  <c r="X51" i="10"/>
  <c r="W82" i="10"/>
  <c r="M15" i="40" s="1"/>
  <c r="X112" i="10"/>
  <c r="AE39" i="40" s="1"/>
  <c r="Z99" i="10"/>
  <c r="AK90" i="10" s="1"/>
  <c r="U8" i="41" s="1"/>
  <c r="F31" i="18"/>
  <c r="L20" i="16"/>
  <c r="F32" i="18"/>
  <c r="Y44" i="10"/>
  <c r="AL45" i="10"/>
  <c r="E26" i="44" s="1"/>
  <c r="M101" i="10"/>
  <c r="T20" i="40" s="1"/>
  <c r="AJ91" i="10"/>
  <c r="T9" i="41" s="1"/>
  <c r="K10" i="18"/>
  <c r="L7" i="18" s="1"/>
  <c r="U87" i="10"/>
  <c r="X101" i="10"/>
  <c r="AE20" i="40" s="1"/>
  <c r="W65" i="10"/>
  <c r="L33" i="16" s="1"/>
  <c r="X58" i="10"/>
  <c r="X59" i="10" s="1"/>
  <c r="X60" i="10" s="1"/>
  <c r="X65" i="10" s="1"/>
  <c r="M33" i="16" s="1"/>
  <c r="P16" i="42"/>
  <c r="P12" i="42"/>
  <c r="Q12" i="42" s="1"/>
  <c r="Q11" i="42"/>
  <c r="P10" i="42"/>
  <c r="Q10" i="42" s="1"/>
  <c r="AL93" i="10"/>
  <c r="V11" i="41" s="1"/>
  <c r="T11" i="41"/>
  <c r="AM93" i="10"/>
  <c r="W11" i="41" s="1"/>
  <c r="C7" i="39"/>
  <c r="E23" i="44"/>
  <c r="AK92" i="10"/>
  <c r="AL92" i="10"/>
  <c r="T10" i="41"/>
  <c r="D7" i="39"/>
  <c r="F23" i="44"/>
  <c r="T19" i="40"/>
  <c r="AG22" i="40" s="1"/>
  <c r="Y100" i="10"/>
  <c r="Y101" i="10" s="1"/>
  <c r="Z100" i="10"/>
  <c r="N9" i="16"/>
  <c r="O9" i="16" s="1"/>
  <c r="P21" i="42"/>
  <c r="L10" i="16"/>
  <c r="AD20" i="40"/>
  <c r="Y56" i="10"/>
  <c r="Y57" i="10" s="1"/>
  <c r="AC43" i="40"/>
  <c r="K12" i="16"/>
  <c r="X73" i="10"/>
  <c r="M114" i="10"/>
  <c r="K20" i="40"/>
  <c r="M11" i="16"/>
  <c r="O23" i="42"/>
  <c r="O25" i="42" s="1"/>
  <c r="M21" i="40"/>
  <c r="M84" i="10"/>
  <c r="C16" i="40"/>
  <c r="V83" i="10"/>
  <c r="L16" i="40" s="1"/>
  <c r="L20" i="40" s="1"/>
  <c r="W83" i="10"/>
  <c r="M16" i="40" s="1"/>
  <c r="X113" i="10"/>
  <c r="T40" i="40"/>
  <c r="W113" i="10"/>
  <c r="W116" i="10" s="1"/>
  <c r="AL72" i="10"/>
  <c r="Y72" i="10"/>
  <c r="M115" i="10" s="1"/>
  <c r="Z45" i="10"/>
  <c r="P24" i="42" s="1"/>
  <c r="Q24" i="42" s="1"/>
  <c r="AD39" i="40"/>
  <c r="AC39" i="40"/>
  <c r="Q8" i="42"/>
  <c r="Q16" i="42" s="1"/>
  <c r="AL47" i="10"/>
  <c r="AL48" i="10" s="1"/>
  <c r="E8" i="44"/>
  <c r="E18" i="44" s="1"/>
  <c r="C21" i="39"/>
  <c r="C21" i="30"/>
  <c r="AB48" i="10"/>
  <c r="AB49" i="10" s="1"/>
  <c r="Y49" i="10"/>
  <c r="Y50" i="10" s="1"/>
  <c r="AC47" i="10"/>
  <c r="L8" i="18"/>
  <c r="D8" i="30"/>
  <c r="C8" i="30"/>
  <c r="Y17" i="10"/>
  <c r="N27" i="16" s="1"/>
  <c r="AL21" i="10"/>
  <c r="AW21" i="10"/>
  <c r="AL53" i="10"/>
  <c r="AL30" i="10"/>
  <c r="AL29" i="10"/>
  <c r="AL44" i="10" s="1"/>
  <c r="AB45" i="10"/>
  <c r="C10" i="25" s="1"/>
  <c r="AL35" i="10"/>
  <c r="AM28" i="10"/>
  <c r="AD52" i="10"/>
  <c r="AD28" i="10"/>
  <c r="AD53" i="10" s="1"/>
  <c r="C21" i="34"/>
  <c r="AC54" i="10"/>
  <c r="AM52" i="10"/>
  <c r="F12" i="44" s="1"/>
  <c r="F10" i="44" s="1"/>
  <c r="AB19" i="10"/>
  <c r="C16" i="25" s="1"/>
  <c r="AL62" i="10"/>
  <c r="AB67" i="10"/>
  <c r="C7" i="25"/>
  <c r="D8" i="25"/>
  <c r="C17" i="25"/>
  <c r="C20" i="25"/>
  <c r="AL24" i="10"/>
  <c r="AB56" i="10"/>
  <c r="AC62" i="10"/>
  <c r="AC63" i="10" s="1"/>
  <c r="AB54" i="10"/>
  <c r="Y40" i="10"/>
  <c r="H32" i="18" s="1"/>
  <c r="Z41" i="10"/>
  <c r="D11" i="3" s="1"/>
  <c r="AC21" i="10"/>
  <c r="AC45" i="10"/>
  <c r="AB44" i="10"/>
  <c r="AC35" i="10"/>
  <c r="AC31" i="10"/>
  <c r="AM31" i="10" s="1"/>
  <c r="AC29" i="10"/>
  <c r="AC30" i="10"/>
  <c r="AD43" i="10"/>
  <c r="AC42" i="10"/>
  <c r="AE14" i="10"/>
  <c r="AB22" i="10"/>
  <c r="AC24" i="10"/>
  <c r="AD15" i="10"/>
  <c r="AD20" i="10"/>
  <c r="AD18" i="10"/>
  <c r="AC19" i="10" s="1"/>
  <c r="D16" i="25" s="1"/>
  <c r="Y67" i="10"/>
  <c r="N21" i="16" s="1"/>
  <c r="O21" i="16" s="1"/>
  <c r="D9" i="3" s="1"/>
  <c r="L23" i="18"/>
  <c r="M20" i="18" s="1"/>
  <c r="N9" i="18"/>
  <c r="O9" i="18" s="1"/>
  <c r="M21" i="18"/>
  <c r="N21" i="18"/>
  <c r="O19" i="16"/>
  <c r="X40" i="10"/>
  <c r="L31" i="16"/>
  <c r="W37" i="10"/>
  <c r="W38" i="10" s="1"/>
  <c r="Y32" i="10"/>
  <c r="X33" i="10"/>
  <c r="X34" i="10" s="1"/>
  <c r="X36" i="10" s="1"/>
  <c r="Z50" i="10" l="1"/>
  <c r="C16" i="13" s="1"/>
  <c r="Y51" i="10"/>
  <c r="Z51" i="10" s="1"/>
  <c r="C17" i="13" s="1"/>
  <c r="AG18" i="40"/>
  <c r="AJ106" i="10"/>
  <c r="T33" i="41" s="1"/>
  <c r="AM92" i="10"/>
  <c r="W10" i="41" s="1"/>
  <c r="X83" i="10"/>
  <c r="N16" i="40" s="1"/>
  <c r="Y113" i="10"/>
  <c r="AF40" i="40" s="1"/>
  <c r="AA100" i="10"/>
  <c r="AL91" i="10" s="1"/>
  <c r="V9" i="41" s="1"/>
  <c r="AN93" i="10"/>
  <c r="X11" i="41" s="1"/>
  <c r="M20" i="16"/>
  <c r="G32" i="18"/>
  <c r="I32" i="18" s="1"/>
  <c r="F34" i="18"/>
  <c r="AG19" i="40"/>
  <c r="AK91" i="10"/>
  <c r="Z101" i="10"/>
  <c r="AG20" i="40" s="1"/>
  <c r="V87" i="10"/>
  <c r="L10" i="18"/>
  <c r="M7" i="18" s="1"/>
  <c r="Q21" i="42"/>
  <c r="M10" i="16"/>
  <c r="X61" i="10"/>
  <c r="Y58" i="10"/>
  <c r="Y59" i="10" s="1"/>
  <c r="Y60" i="10" s="1"/>
  <c r="Y16" i="10"/>
  <c r="Z17" i="10" s="1"/>
  <c r="AF19" i="40"/>
  <c r="V10" i="41"/>
  <c r="U10" i="41"/>
  <c r="N30" i="16"/>
  <c r="O30" i="16" s="1"/>
  <c r="AC48" i="10"/>
  <c r="AC49" i="10" s="1"/>
  <c r="AL56" i="10"/>
  <c r="E15" i="44"/>
  <c r="E13" i="44" s="1"/>
  <c r="AD40" i="40"/>
  <c r="AM47" i="10"/>
  <c r="AM48" i="10" s="1"/>
  <c r="F8" i="44"/>
  <c r="F18" i="44" s="1"/>
  <c r="T41" i="40"/>
  <c r="Y114" i="10"/>
  <c r="X114" i="10"/>
  <c r="X116" i="10" s="1"/>
  <c r="N21" i="40"/>
  <c r="M85" i="10"/>
  <c r="AE40" i="40"/>
  <c r="C17" i="40"/>
  <c r="X84" i="10"/>
  <c r="N17" i="40" s="1"/>
  <c r="W84" i="10"/>
  <c r="W87" i="10" s="1"/>
  <c r="Y73" i="10"/>
  <c r="N11" i="16"/>
  <c r="O11" i="16" s="1"/>
  <c r="P23" i="42"/>
  <c r="Q23" i="42" s="1"/>
  <c r="AM72" i="10"/>
  <c r="AL73" i="10"/>
  <c r="D23" i="41" s="1"/>
  <c r="AJ108" i="10"/>
  <c r="D21" i="39"/>
  <c r="D21" i="30"/>
  <c r="AD47" i="10"/>
  <c r="AL49" i="10"/>
  <c r="AL50" i="10" s="1"/>
  <c r="N8" i="18"/>
  <c r="N20" i="16"/>
  <c r="AL54" i="10"/>
  <c r="C10" i="30"/>
  <c r="B65" i="10"/>
  <c r="C33" i="34"/>
  <c r="C32" i="37"/>
  <c r="D7" i="30"/>
  <c r="D21" i="34"/>
  <c r="D20" i="37"/>
  <c r="AM21" i="10"/>
  <c r="AX21" i="10"/>
  <c r="C17" i="39"/>
  <c r="F26" i="44"/>
  <c r="AD54" i="10"/>
  <c r="AM30" i="10"/>
  <c r="AL40" i="10" s="1"/>
  <c r="C18" i="39" s="1"/>
  <c r="AM29" i="10"/>
  <c r="AM44" i="10" s="1"/>
  <c r="AE52" i="10"/>
  <c r="AE28" i="10"/>
  <c r="AE53" i="10" s="1"/>
  <c r="AL67" i="10"/>
  <c r="C19" i="39" s="1"/>
  <c r="AL63" i="10"/>
  <c r="AM53" i="10"/>
  <c r="AM35" i="10"/>
  <c r="AM62" i="10"/>
  <c r="AC67" i="10"/>
  <c r="E8" i="25"/>
  <c r="B69" i="10"/>
  <c r="D7" i="25"/>
  <c r="D10" i="25"/>
  <c r="D20" i="25"/>
  <c r="AM24" i="10"/>
  <c r="AB23" i="10"/>
  <c r="AL22" i="10"/>
  <c r="AB50" i="10"/>
  <c r="C18" i="25"/>
  <c r="AB57" i="10"/>
  <c r="AB16" i="10" s="1"/>
  <c r="C9" i="25"/>
  <c r="AB40" i="10"/>
  <c r="D17" i="25"/>
  <c r="AD62" i="10"/>
  <c r="AD21" i="10"/>
  <c r="AD22" i="10" s="1"/>
  <c r="AD23" i="10" s="1"/>
  <c r="AD26" i="10" s="1"/>
  <c r="AC56" i="10"/>
  <c r="Y33" i="10"/>
  <c r="Y34" i="10" s="1"/>
  <c r="Y36" i="10" s="1"/>
  <c r="N31" i="16" s="1"/>
  <c r="AB32" i="10"/>
  <c r="AL32" i="10" s="1"/>
  <c r="AD56" i="10"/>
  <c r="AD57" i="10" s="1"/>
  <c r="AD30" i="10"/>
  <c r="AD29" i="10"/>
  <c r="AD35" i="10"/>
  <c r="AD31" i="10"/>
  <c r="AE20" i="10"/>
  <c r="AE15" i="10"/>
  <c r="AE18" i="10"/>
  <c r="AD19" i="10" s="1"/>
  <c r="E16" i="25" s="1"/>
  <c r="AD45" i="10"/>
  <c r="AC44" i="10"/>
  <c r="AD42" i="10"/>
  <c r="AE43" i="10"/>
  <c r="AD24" i="10"/>
  <c r="AC22" i="10"/>
  <c r="AF14" i="10"/>
  <c r="M23" i="18"/>
  <c r="N20" i="18" s="1"/>
  <c r="N23" i="18" s="1"/>
  <c r="O25" i="18" s="1"/>
  <c r="O21" i="18"/>
  <c r="M8" i="18"/>
  <c r="X37" i="10"/>
  <c r="X38" i="10" s="1"/>
  <c r="M31" i="16"/>
  <c r="Z26" i="10"/>
  <c r="O23" i="16"/>
  <c r="D17" i="3" s="1"/>
  <c r="Z23" i="10"/>
  <c r="BM50" i="10" l="1"/>
  <c r="O20" i="16"/>
  <c r="AJ74" i="10"/>
  <c r="C8" i="41" s="1"/>
  <c r="AL104" i="10"/>
  <c r="V22" i="41" s="1"/>
  <c r="AA101" i="10"/>
  <c r="AH20" i="40" s="1"/>
  <c r="Y84" i="10"/>
  <c r="O17" i="40" s="1"/>
  <c r="AH19" i="40"/>
  <c r="Z102" i="10"/>
  <c r="Z114" i="10"/>
  <c r="AK106" i="10" s="1"/>
  <c r="U33" i="41" s="1"/>
  <c r="G31" i="18"/>
  <c r="G34" i="18" s="1"/>
  <c r="H31" i="18" s="1"/>
  <c r="H34" i="18" s="1"/>
  <c r="I34" i="18" s="1"/>
  <c r="U9" i="41"/>
  <c r="AK104" i="10"/>
  <c r="C8" i="39" s="1"/>
  <c r="M116" i="10"/>
  <c r="T43" i="40" s="1"/>
  <c r="AJ107" i="10"/>
  <c r="T34" i="41" s="1"/>
  <c r="C17" i="30"/>
  <c r="M10" i="18"/>
  <c r="N7" i="18" s="1"/>
  <c r="T35" i="41"/>
  <c r="Q25" i="42"/>
  <c r="P25" i="42"/>
  <c r="N10" i="16"/>
  <c r="O10" i="16" s="1"/>
  <c r="AF20" i="40"/>
  <c r="AD48" i="10"/>
  <c r="AD49" i="10" s="1"/>
  <c r="AD50" i="10" s="1"/>
  <c r="E26" i="25" s="1"/>
  <c r="T42" i="40"/>
  <c r="AG45" i="40" s="1"/>
  <c r="Z115" i="10"/>
  <c r="Y115" i="10"/>
  <c r="D9" i="39"/>
  <c r="F25" i="44"/>
  <c r="F27" i="44" s="1"/>
  <c r="AL108" i="10"/>
  <c r="AK108" i="10"/>
  <c r="O21" i="40"/>
  <c r="M86" i="10"/>
  <c r="AE41" i="40"/>
  <c r="AJ76" i="10"/>
  <c r="AF41" i="40"/>
  <c r="AD43" i="40"/>
  <c r="L12" i="16"/>
  <c r="AM73" i="10"/>
  <c r="E23" i="41" s="1"/>
  <c r="AJ109" i="10"/>
  <c r="C18" i="40"/>
  <c r="X85" i="10"/>
  <c r="X87" i="10" s="1"/>
  <c r="Y85" i="10"/>
  <c r="O18" i="40" s="1"/>
  <c r="AM54" i="10"/>
  <c r="F15" i="44"/>
  <c r="F13" i="44" s="1"/>
  <c r="D23" i="3"/>
  <c r="C9" i="39"/>
  <c r="E25" i="44"/>
  <c r="E27" i="44" s="1"/>
  <c r="M17" i="40"/>
  <c r="M20" i="40" s="1"/>
  <c r="C19" i="30"/>
  <c r="O27" i="16"/>
  <c r="D21" i="3" s="1"/>
  <c r="C25" i="30"/>
  <c r="C33" i="13"/>
  <c r="C25" i="39"/>
  <c r="C24" i="25"/>
  <c r="C18" i="30"/>
  <c r="E21" i="39"/>
  <c r="E21" i="30"/>
  <c r="AL51" i="10"/>
  <c r="C27" i="30"/>
  <c r="C27" i="39"/>
  <c r="AM49" i="10"/>
  <c r="AM50" i="10" s="1"/>
  <c r="AE47" i="10"/>
  <c r="Z34" i="10"/>
  <c r="BF37" i="10" s="1"/>
  <c r="AI26" i="10"/>
  <c r="AR26" i="10" s="1"/>
  <c r="BF24" i="10"/>
  <c r="C26" i="25"/>
  <c r="C20" i="34"/>
  <c r="C8" i="37"/>
  <c r="C9" i="30"/>
  <c r="D9" i="30"/>
  <c r="C19" i="34"/>
  <c r="I19" i="34" s="1"/>
  <c r="C18" i="37"/>
  <c r="D33" i="34"/>
  <c r="D32" i="37"/>
  <c r="D8" i="37" s="1"/>
  <c r="D10" i="30"/>
  <c r="AD16" i="10"/>
  <c r="AE54" i="10"/>
  <c r="AF52" i="10"/>
  <c r="AF28" i="10"/>
  <c r="AF53" i="10" s="1"/>
  <c r="C65" i="10"/>
  <c r="AN24" i="10"/>
  <c r="Y61" i="10"/>
  <c r="Z61" i="10" s="1"/>
  <c r="Z60" i="10"/>
  <c r="AA61" i="10" s="1"/>
  <c r="AM56" i="10"/>
  <c r="AM67" i="10"/>
  <c r="D19" i="39" s="1"/>
  <c r="AM63" i="10"/>
  <c r="AD67" i="10"/>
  <c r="AD63" i="10"/>
  <c r="Y65" i="10"/>
  <c r="N33" i="16" s="1"/>
  <c r="O33" i="16" s="1"/>
  <c r="E17" i="25"/>
  <c r="E20" i="25"/>
  <c r="F8" i="25"/>
  <c r="E7" i="25"/>
  <c r="E10" i="25"/>
  <c r="AB26" i="10"/>
  <c r="AL26" i="10" s="1"/>
  <c r="AL23" i="10"/>
  <c r="AL57" i="10"/>
  <c r="AC50" i="10"/>
  <c r="AC57" i="10"/>
  <c r="AC16" i="10" s="1"/>
  <c r="I59" i="10" s="1"/>
  <c r="D18" i="25"/>
  <c r="D9" i="25"/>
  <c r="AC23" i="10"/>
  <c r="AM22" i="10"/>
  <c r="AB58" i="10"/>
  <c r="AE24" i="10"/>
  <c r="D65" i="10" s="1"/>
  <c r="AE21" i="10"/>
  <c r="AF24" i="10" s="1"/>
  <c r="E65" i="10" s="1"/>
  <c r="Y37" i="10"/>
  <c r="Z36" i="10"/>
  <c r="AE62" i="10"/>
  <c r="AE63" i="10" s="1"/>
  <c r="AE45" i="10"/>
  <c r="AD44" i="10"/>
  <c r="AE42" i="10"/>
  <c r="AF43" i="10"/>
  <c r="AG14" i="10"/>
  <c r="AE29" i="10"/>
  <c r="AE30" i="10"/>
  <c r="AE35" i="10"/>
  <c r="AE31" i="10"/>
  <c r="AB33" i="10"/>
  <c r="AC32" i="10"/>
  <c r="AM32" i="10" s="1"/>
  <c r="AF15" i="10"/>
  <c r="AG43" i="10" s="1"/>
  <c r="AF20" i="10"/>
  <c r="AF18" i="10"/>
  <c r="AE19" i="10" s="1"/>
  <c r="F16" i="25" s="1"/>
  <c r="AC40" i="10"/>
  <c r="O23" i="18"/>
  <c r="O8" i="18"/>
  <c r="O31" i="16"/>
  <c r="B19" i="28" l="1"/>
  <c r="I64" i="10"/>
  <c r="I61" i="10"/>
  <c r="I62" i="10" s="1"/>
  <c r="AG41" i="40"/>
  <c r="D8" i="39"/>
  <c r="Y116" i="10"/>
  <c r="AF43" i="40" s="1"/>
  <c r="AA115" i="10"/>
  <c r="AL107" i="10" s="1"/>
  <c r="V34" i="41" s="1"/>
  <c r="Z85" i="10"/>
  <c r="AK74" i="10" s="1"/>
  <c r="D8" i="41" s="1"/>
  <c r="I36" i="18"/>
  <c r="AM108" i="10"/>
  <c r="W35" i="41" s="1"/>
  <c r="T36" i="41"/>
  <c r="U22" i="41"/>
  <c r="Z116" i="10"/>
  <c r="AK107" i="10"/>
  <c r="M87" i="10"/>
  <c r="C20" i="40" s="1"/>
  <c r="AJ75" i="10"/>
  <c r="C9" i="41" s="1"/>
  <c r="U35" i="41"/>
  <c r="V35" i="41"/>
  <c r="N10" i="18"/>
  <c r="O12" i="18" s="1"/>
  <c r="AE48" i="10"/>
  <c r="AE49" i="10" s="1"/>
  <c r="AE50" i="10" s="1"/>
  <c r="F26" i="25" s="1"/>
  <c r="Z86" i="10"/>
  <c r="C19" i="40"/>
  <c r="P23" i="40" s="1"/>
  <c r="Y86" i="10"/>
  <c r="O19" i="40" s="1"/>
  <c r="O20" i="40" s="1"/>
  <c r="N18" i="40"/>
  <c r="N20" i="40" s="1"/>
  <c r="AF42" i="40"/>
  <c r="AG42" i="40"/>
  <c r="AL76" i="10"/>
  <c r="AK76" i="10"/>
  <c r="C10" i="41"/>
  <c r="AL109" i="10"/>
  <c r="AM109" i="10"/>
  <c r="W36" i="41" s="1"/>
  <c r="AJ77" i="10"/>
  <c r="AE43" i="40"/>
  <c r="M12" i="16"/>
  <c r="D19" i="30"/>
  <c r="C21" i="13"/>
  <c r="D25" i="3"/>
  <c r="AF47" i="10"/>
  <c r="AM51" i="10"/>
  <c r="D27" i="39"/>
  <c r="D27" i="30"/>
  <c r="D26" i="25"/>
  <c r="C31" i="34"/>
  <c r="C7" i="34" s="1"/>
  <c r="Y38" i="10"/>
  <c r="Z38" i="10" s="1"/>
  <c r="BF38" i="10"/>
  <c r="C24" i="32" s="1"/>
  <c r="AH14" i="10"/>
  <c r="AH28" i="10" s="1"/>
  <c r="AH30" i="10" s="1"/>
  <c r="O18" i="37"/>
  <c r="C22" i="34"/>
  <c r="D19" i="34" s="1"/>
  <c r="C31" i="37"/>
  <c r="AL58" i="10"/>
  <c r="G65" i="10"/>
  <c r="C69" i="10" s="1"/>
  <c r="D69" i="10" s="1"/>
  <c r="AF54" i="10"/>
  <c r="C32" i="34"/>
  <c r="AG52" i="10"/>
  <c r="AG28" i="10"/>
  <c r="AG53" i="10" s="1"/>
  <c r="C14" i="13"/>
  <c r="C20" i="13"/>
  <c r="D27" i="3"/>
  <c r="AE67" i="10"/>
  <c r="G20" i="25"/>
  <c r="F10" i="25"/>
  <c r="G8" i="25"/>
  <c r="E18" i="25"/>
  <c r="F20" i="25"/>
  <c r="E9" i="25"/>
  <c r="F7" i="25"/>
  <c r="AB34" i="10"/>
  <c r="AL33" i="10"/>
  <c r="AB59" i="10"/>
  <c r="AL59" i="10" s="1"/>
  <c r="AL60" i="10" s="1"/>
  <c r="AL65" i="10" s="1"/>
  <c r="AC58" i="10"/>
  <c r="AM57" i="10"/>
  <c r="AC26" i="10"/>
  <c r="AM26" i="10" s="1"/>
  <c r="AQ26" i="10" s="1"/>
  <c r="AM23" i="10"/>
  <c r="AB17" i="10"/>
  <c r="D25" i="30" s="1"/>
  <c r="AL16" i="10"/>
  <c r="AD40" i="10"/>
  <c r="F17" i="25"/>
  <c r="AI37" i="10"/>
  <c r="AR37" i="10" s="1"/>
  <c r="AE22" i="10"/>
  <c r="AE23" i="10" s="1"/>
  <c r="AE26" i="10" s="1"/>
  <c r="AF62" i="10"/>
  <c r="AF63" i="10" s="1"/>
  <c r="AF21" i="10"/>
  <c r="AF22" i="10" s="1"/>
  <c r="AF23" i="10" s="1"/>
  <c r="AF26" i="10" s="1"/>
  <c r="AE56" i="10"/>
  <c r="AE57" i="10" s="1"/>
  <c r="AE16" i="10" s="1"/>
  <c r="AG15" i="10"/>
  <c r="AH43" i="10" s="1"/>
  <c r="AG20" i="10"/>
  <c r="AG18" i="10"/>
  <c r="AE44" i="10"/>
  <c r="AF45" i="10"/>
  <c r="AD32" i="10"/>
  <c r="AC33" i="10"/>
  <c r="AF42" i="10"/>
  <c r="AF29" i="10"/>
  <c r="AF56" i="10"/>
  <c r="AF57" i="10" s="1"/>
  <c r="AF30" i="10"/>
  <c r="AF35" i="10"/>
  <c r="AF31" i="10"/>
  <c r="E11" i="39" l="1"/>
  <c r="H11" i="30"/>
  <c r="G11" i="30"/>
  <c r="I11" i="39"/>
  <c r="F19" i="28"/>
  <c r="J11" i="39"/>
  <c r="F11" i="30"/>
  <c r="I66" i="10"/>
  <c r="H11" i="39"/>
  <c r="E11" i="30"/>
  <c r="G11" i="39"/>
  <c r="F11" i="39"/>
  <c r="H25" i="30"/>
  <c r="I25" i="39"/>
  <c r="F25" i="39"/>
  <c r="F25" i="30"/>
  <c r="H25" i="39"/>
  <c r="G25" i="39"/>
  <c r="G25" i="30"/>
  <c r="N12" i="16"/>
  <c r="O12" i="16" s="1"/>
  <c r="AH42" i="40"/>
  <c r="P18" i="40"/>
  <c r="AA86" i="10"/>
  <c r="AL75" i="10" s="1"/>
  <c r="AL120" i="10"/>
  <c r="D10" i="39" s="1"/>
  <c r="Z117" i="10"/>
  <c r="AA116" i="10"/>
  <c r="AH43" i="40" s="1"/>
  <c r="AM76" i="10"/>
  <c r="F10" i="41" s="1"/>
  <c r="AN109" i="10"/>
  <c r="X36" i="41" s="1"/>
  <c r="P19" i="40"/>
  <c r="AK75" i="10"/>
  <c r="U34" i="41"/>
  <c r="U47" i="41" s="1"/>
  <c r="AK120" i="10"/>
  <c r="C10" i="39" s="1"/>
  <c r="O10" i="18"/>
  <c r="C10" i="13" s="1"/>
  <c r="I7" i="34"/>
  <c r="Y87" i="10"/>
  <c r="Z87" i="10"/>
  <c r="V36" i="41"/>
  <c r="V47" i="41" s="1"/>
  <c r="AF48" i="10"/>
  <c r="AF49" i="10" s="1"/>
  <c r="AF50" i="10" s="1"/>
  <c r="G26" i="25" s="1"/>
  <c r="P22" i="40"/>
  <c r="D10" i="41"/>
  <c r="AG43" i="40"/>
  <c r="E10" i="41"/>
  <c r="AL77" i="10"/>
  <c r="E11" i="41" s="1"/>
  <c r="AM77" i="10"/>
  <c r="F11" i="41" s="1"/>
  <c r="C11" i="41"/>
  <c r="H21" i="30"/>
  <c r="G21" i="30"/>
  <c r="F21" i="30"/>
  <c r="Z39" i="10"/>
  <c r="BF39" i="10"/>
  <c r="C15" i="33" s="1"/>
  <c r="D22" i="3"/>
  <c r="AG47" i="10"/>
  <c r="BK22" i="10"/>
  <c r="BL22" i="10"/>
  <c r="BM22" i="10"/>
  <c r="C30" i="37"/>
  <c r="C6" i="37" s="1"/>
  <c r="O6" i="37" s="1"/>
  <c r="BI22" i="10"/>
  <c r="BJ22" i="10"/>
  <c r="BG22" i="10"/>
  <c r="BH22" i="10"/>
  <c r="C15" i="13"/>
  <c r="E22" i="13" s="1"/>
  <c r="D25" i="39"/>
  <c r="AL17" i="10"/>
  <c r="M21" i="39"/>
  <c r="N21" i="39"/>
  <c r="F21" i="39"/>
  <c r="C28" i="33"/>
  <c r="I21" i="39"/>
  <c r="J21" i="39"/>
  <c r="K21" i="39"/>
  <c r="L21" i="39"/>
  <c r="H21" i="39"/>
  <c r="G21" i="39"/>
  <c r="AH18" i="10"/>
  <c r="AH19" i="10" s="1"/>
  <c r="AH15" i="10"/>
  <c r="C8" i="34"/>
  <c r="C7" i="37"/>
  <c r="I31" i="34"/>
  <c r="C21" i="37"/>
  <c r="AF16" i="10"/>
  <c r="AM58" i="10"/>
  <c r="AM59" i="10" s="1"/>
  <c r="AM60" i="10" s="1"/>
  <c r="AM61" i="10" s="1"/>
  <c r="AG54" i="10"/>
  <c r="C9" i="34"/>
  <c r="C34" i="34"/>
  <c r="D31" i="34" s="1"/>
  <c r="AL61" i="10"/>
  <c r="AF67" i="10"/>
  <c r="AF19" i="10"/>
  <c r="G16" i="25" s="1"/>
  <c r="F9" i="25"/>
  <c r="G7" i="25"/>
  <c r="H8" i="25"/>
  <c r="I8" i="25" s="1"/>
  <c r="G10" i="25"/>
  <c r="F18" i="25"/>
  <c r="D24" i="25"/>
  <c r="AB36" i="10"/>
  <c r="C28" i="39" s="1"/>
  <c r="AL34" i="10"/>
  <c r="AL36" i="10" s="1"/>
  <c r="AD58" i="10"/>
  <c r="AC59" i="10"/>
  <c r="AC34" i="10"/>
  <c r="AM33" i="10"/>
  <c r="AB60" i="10"/>
  <c r="AB65" i="10" s="1"/>
  <c r="C30" i="39" s="1"/>
  <c r="AE40" i="10"/>
  <c r="G17" i="25"/>
  <c r="AG24" i="10"/>
  <c r="AG62" i="10"/>
  <c r="AG21" i="10"/>
  <c r="AH24" i="10" s="1"/>
  <c r="AG42" i="10"/>
  <c r="AD33" i="10"/>
  <c r="AD34" i="10" s="1"/>
  <c r="AD36" i="10" s="1"/>
  <c r="AE32" i="10"/>
  <c r="AG45" i="10"/>
  <c r="AF44" i="10"/>
  <c r="AG29" i="10"/>
  <c r="AG56" i="10"/>
  <c r="AG57" i="10" s="1"/>
  <c r="AG30" i="10"/>
  <c r="AG35" i="10"/>
  <c r="AG31" i="10"/>
  <c r="I11" i="30" l="1"/>
  <c r="L11" i="39"/>
  <c r="M11" i="39"/>
  <c r="K11" i="39"/>
  <c r="N11" i="39"/>
  <c r="AA87" i="10"/>
  <c r="Z88" i="10"/>
  <c r="C9" i="13" s="1"/>
  <c r="P20" i="40"/>
  <c r="Q19" i="40"/>
  <c r="Q20" i="40" s="1"/>
  <c r="AN77" i="10"/>
  <c r="G11" i="41" s="1"/>
  <c r="E9" i="41"/>
  <c r="AL88" i="10"/>
  <c r="E22" i="41" s="1"/>
  <c r="D9" i="41"/>
  <c r="AK88" i="10"/>
  <c r="D22" i="41" s="1"/>
  <c r="C10" i="34"/>
  <c r="D7" i="34" s="1"/>
  <c r="AG48" i="10"/>
  <c r="AG49" i="10" s="1"/>
  <c r="AG50" i="10" s="1"/>
  <c r="H26" i="25" s="1"/>
  <c r="I26" i="25" s="1"/>
  <c r="F30" i="3"/>
  <c r="O30" i="37"/>
  <c r="C33" i="37"/>
  <c r="D30" i="37" s="1"/>
  <c r="AG63" i="10"/>
  <c r="AG67" i="10"/>
  <c r="C19" i="32"/>
  <c r="O21" i="39"/>
  <c r="AG19" i="10"/>
  <c r="H16" i="25" s="1"/>
  <c r="I16" i="25" s="1"/>
  <c r="C30" i="30"/>
  <c r="D18" i="37"/>
  <c r="C28" i="30"/>
  <c r="C9" i="37"/>
  <c r="AG16" i="10"/>
  <c r="AM16" i="10"/>
  <c r="I65" i="10"/>
  <c r="F22" i="28" s="1"/>
  <c r="I72" i="10" s="1"/>
  <c r="J72" i="10" s="1"/>
  <c r="D11" i="28"/>
  <c r="B3" i="28"/>
  <c r="AC17" i="10"/>
  <c r="AD59" i="10"/>
  <c r="AD60" i="10" s="1"/>
  <c r="AD61" i="10" s="1"/>
  <c r="AD17" i="10"/>
  <c r="F24" i="25" s="1"/>
  <c r="H10" i="25"/>
  <c r="I10" i="25" s="1"/>
  <c r="G9" i="25"/>
  <c r="G18" i="25"/>
  <c r="H7" i="25"/>
  <c r="I7" i="25" s="1"/>
  <c r="H20" i="25"/>
  <c r="I20" i="25" s="1"/>
  <c r="I21" i="30"/>
  <c r="C29" i="25"/>
  <c r="AB61" i="10"/>
  <c r="AE58" i="10"/>
  <c r="AE17" i="10" s="1"/>
  <c r="G24" i="25" s="1"/>
  <c r="AC36" i="10"/>
  <c r="AM34" i="10"/>
  <c r="AM36" i="10" s="1"/>
  <c r="AB37" i="10"/>
  <c r="AL37" i="10" s="1"/>
  <c r="C27" i="25"/>
  <c r="AC60" i="10"/>
  <c r="AC65" i="10" s="1"/>
  <c r="D30" i="39" s="1"/>
  <c r="O30" i="39" s="1"/>
  <c r="C29" i="32" s="1"/>
  <c r="AD37" i="10"/>
  <c r="E27" i="25"/>
  <c r="AG40" i="10"/>
  <c r="H17" i="25"/>
  <c r="I17" i="25" s="1"/>
  <c r="AG22" i="10"/>
  <c r="AG23" i="10" s="1"/>
  <c r="AG26" i="10" s="1"/>
  <c r="AH26" i="10" s="1"/>
  <c r="AF32" i="10"/>
  <c r="AE33" i="10"/>
  <c r="AE34" i="10" s="1"/>
  <c r="AE36" i="10" s="1"/>
  <c r="AF40" i="10"/>
  <c r="AG44" i="10"/>
  <c r="AH45" i="10"/>
  <c r="O11" i="39" l="1"/>
  <c r="E15" i="32" s="1"/>
  <c r="D8" i="3"/>
  <c r="F10" i="3" s="1"/>
  <c r="F12" i="3" s="1"/>
  <c r="E25" i="39"/>
  <c r="E25" i="30"/>
  <c r="D28" i="39"/>
  <c r="O28" i="39" s="1"/>
  <c r="D28" i="30"/>
  <c r="D6" i="37"/>
  <c r="D30" i="30"/>
  <c r="E24" i="25"/>
  <c r="AM17" i="10"/>
  <c r="AD65" i="10"/>
  <c r="E29" i="25" s="1"/>
  <c r="H18" i="25"/>
  <c r="I18" i="25" s="1"/>
  <c r="H9" i="25"/>
  <c r="I9" i="25" s="1"/>
  <c r="D29" i="25"/>
  <c r="AM65" i="10"/>
  <c r="AC61" i="10"/>
  <c r="AR36" i="10"/>
  <c r="C14" i="33" s="1"/>
  <c r="AC37" i="10"/>
  <c r="AM37" i="10" s="1"/>
  <c r="D27" i="25"/>
  <c r="AF58" i="10"/>
  <c r="AF17" i="10" s="1"/>
  <c r="H24" i="25" s="1"/>
  <c r="AE59" i="10"/>
  <c r="AE60" i="10" s="1"/>
  <c r="AE37" i="10"/>
  <c r="F27" i="25"/>
  <c r="AG32" i="10"/>
  <c r="AG33" i="10" s="1"/>
  <c r="AG34" i="10" s="1"/>
  <c r="AG36" i="10" s="1"/>
  <c r="AF33" i="10"/>
  <c r="AF34" i="10" s="1"/>
  <c r="AF36" i="10" s="1"/>
  <c r="F32" i="3" l="1"/>
  <c r="AQ37" i="10"/>
  <c r="AR38" i="10" s="1"/>
  <c r="AR39" i="10" s="1"/>
  <c r="I25" i="30"/>
  <c r="I28" i="30"/>
  <c r="AE61" i="10"/>
  <c r="AE65" i="10"/>
  <c r="AG58" i="10"/>
  <c r="AF59" i="10"/>
  <c r="AF60" i="10" s="1"/>
  <c r="AG37" i="10"/>
  <c r="H27" i="25"/>
  <c r="AF37" i="10"/>
  <c r="G27" i="25"/>
  <c r="AG59" i="10" l="1"/>
  <c r="AG60" i="10" s="1"/>
  <c r="AG61" i="10" s="1"/>
  <c r="AG17" i="10"/>
  <c r="I24" i="25" s="1"/>
  <c r="F29" i="25"/>
  <c r="AF61" i="10"/>
  <c r="AF65" i="10"/>
  <c r="AH37" i="10"/>
  <c r="AI38" i="10" s="1"/>
  <c r="I27" i="25"/>
  <c r="AG65" i="10" l="1"/>
  <c r="H29" i="25" s="1"/>
  <c r="G29" i="25"/>
  <c r="AH61" i="10"/>
  <c r="I30" i="30" l="1"/>
  <c r="I29" i="25"/>
  <c r="D9" i="34" l="1"/>
  <c r="AY29" i="10"/>
  <c r="AY53" i="10" s="1"/>
  <c r="AY52" i="10"/>
  <c r="AY21" i="10"/>
  <c r="BB29" i="10"/>
  <c r="BB53" i="10" s="1"/>
  <c r="AZ29" i="10"/>
  <c r="AZ35" i="10" s="1"/>
  <c r="BA29" i="10"/>
  <c r="BA53" i="10" s="1"/>
  <c r="BA21" i="10"/>
  <c r="AZ52" i="10"/>
  <c r="BB21" i="10"/>
  <c r="BB52" i="10"/>
  <c r="BA52" i="10"/>
  <c r="AZ21" i="10"/>
  <c r="BB56" i="10" l="1"/>
  <c r="BB57" i="10" s="1"/>
  <c r="AY56" i="10"/>
  <c r="AY57" i="10" s="1"/>
  <c r="AY35" i="10"/>
  <c r="BA56" i="10"/>
  <c r="BA57" i="10" s="1"/>
  <c r="BA35" i="10"/>
  <c r="BB35" i="10"/>
  <c r="AZ53" i="10"/>
  <c r="AZ56" i="10" s="1"/>
  <c r="AZ57" i="10" s="1"/>
  <c r="AZ22" i="10" s="1"/>
  <c r="BB22" i="10" l="1"/>
  <c r="BA22" i="10"/>
  <c r="AY22" i="10"/>
  <c r="I58" i="10" l="1"/>
  <c r="B6" i="28" s="1"/>
  <c r="I63" i="10" l="1"/>
  <c r="D13" i="28"/>
  <c r="F20" i="28" l="1"/>
  <c r="AN12" i="10"/>
  <c r="AN13" i="10" s="1"/>
  <c r="AN16" i="10" l="1"/>
  <c r="AN14" i="10"/>
  <c r="G11" i="44" s="1"/>
  <c r="AO12" i="10"/>
  <c r="AO13" i="10" s="1"/>
  <c r="AO14" i="10" s="1"/>
  <c r="H11" i="44" s="1"/>
  <c r="AN17" i="10" l="1"/>
  <c r="G12" i="44"/>
  <c r="AN52" i="10"/>
  <c r="AN29" i="10"/>
  <c r="G15" i="44" s="1"/>
  <c r="AN27" i="10"/>
  <c r="AO16" i="10"/>
  <c r="AP12" i="10"/>
  <c r="AP13" i="10" s="1"/>
  <c r="AP16" i="10" s="1"/>
  <c r="I12" i="44" s="1"/>
  <c r="AN21" i="10"/>
  <c r="AN18" i="10"/>
  <c r="AN15" i="10"/>
  <c r="AO15" i="10"/>
  <c r="AO27" i="10"/>
  <c r="H14" i="44" s="1"/>
  <c r="AM19" i="10" l="1"/>
  <c r="G7" i="44"/>
  <c r="G17" i="44" s="1"/>
  <c r="AO71" i="10"/>
  <c r="AO17" i="10"/>
  <c r="AO42" i="10" s="1"/>
  <c r="H12" i="44"/>
  <c r="H7" i="44" s="1"/>
  <c r="H17" i="44" s="1"/>
  <c r="AN28" i="10"/>
  <c r="G14" i="44"/>
  <c r="AN47" i="10"/>
  <c r="AN48" i="10" s="1"/>
  <c r="AN30" i="10"/>
  <c r="AN53" i="10"/>
  <c r="AN54" i="10" s="1"/>
  <c r="AO43" i="10"/>
  <c r="AN42" i="10"/>
  <c r="E21" i="34"/>
  <c r="E20" i="37"/>
  <c r="AN35" i="10"/>
  <c r="AN31" i="10"/>
  <c r="AP14" i="10"/>
  <c r="I11" i="44" s="1"/>
  <c r="AQ12" i="10"/>
  <c r="AQ13" i="10" s="1"/>
  <c r="AQ16" i="10" s="1"/>
  <c r="J12" i="44" s="1"/>
  <c r="AO21" i="10"/>
  <c r="AO52" i="10"/>
  <c r="AO18" i="10"/>
  <c r="AO29" i="10"/>
  <c r="AN62" i="10"/>
  <c r="AN67" i="10" s="1"/>
  <c r="AO28" i="10"/>
  <c r="AP29" i="10"/>
  <c r="I15" i="44" s="1"/>
  <c r="AP17" i="10"/>
  <c r="AP52" i="10"/>
  <c r="AN19" i="10" l="1"/>
  <c r="D17" i="39"/>
  <c r="D19" i="37"/>
  <c r="D17" i="30"/>
  <c r="AP43" i="10"/>
  <c r="G8" i="30" s="1"/>
  <c r="G8" i="44"/>
  <c r="G18" i="44" s="1"/>
  <c r="I7" i="44"/>
  <c r="I17" i="44" s="1"/>
  <c r="E7" i="39"/>
  <c r="G23" i="44"/>
  <c r="F7" i="39"/>
  <c r="H23" i="44"/>
  <c r="AJ95" i="10"/>
  <c r="H24" i="44"/>
  <c r="AP71" i="10"/>
  <c r="AO45" i="10"/>
  <c r="F10" i="30" s="1"/>
  <c r="AO47" i="10"/>
  <c r="AO48" i="10" s="1"/>
  <c r="H15" i="44"/>
  <c r="AO72" i="10"/>
  <c r="E19" i="39"/>
  <c r="E19" i="30"/>
  <c r="AN49" i="10"/>
  <c r="AN50" i="10" s="1"/>
  <c r="D20" i="34"/>
  <c r="F8" i="30"/>
  <c r="AN56" i="10"/>
  <c r="AN57" i="10" s="1"/>
  <c r="AN58" i="10" s="1"/>
  <c r="AN59" i="10" s="1"/>
  <c r="AN44" i="10"/>
  <c r="AP30" i="10"/>
  <c r="AP53" i="10"/>
  <c r="AP54" i="10" s="1"/>
  <c r="AO30" i="10"/>
  <c r="AP45" i="10" s="1"/>
  <c r="AO53" i="10"/>
  <c r="AO54" i="10" s="1"/>
  <c r="E7" i="30"/>
  <c r="AM40" i="10"/>
  <c r="D18" i="39" s="1"/>
  <c r="E32" i="37"/>
  <c r="F7" i="30"/>
  <c r="F20" i="37"/>
  <c r="E33" i="34"/>
  <c r="E9" i="34" s="1"/>
  <c r="AP27" i="10"/>
  <c r="AQ14" i="10"/>
  <c r="J11" i="44" s="1"/>
  <c r="J7" i="44" s="1"/>
  <c r="J17" i="44" s="1"/>
  <c r="AP18" i="10"/>
  <c r="AP21" i="10"/>
  <c r="AP15" i="10"/>
  <c r="F21" i="34"/>
  <c r="AR12" i="10"/>
  <c r="AO31" i="10"/>
  <c r="AN63" i="10"/>
  <c r="AO62" i="10"/>
  <c r="AO63" i="10" s="1"/>
  <c r="AO35" i="10"/>
  <c r="AQ52" i="10"/>
  <c r="AQ29" i="10"/>
  <c r="J15" i="44" s="1"/>
  <c r="AQ17" i="10"/>
  <c r="AO19" i="10" l="1"/>
  <c r="E17" i="30"/>
  <c r="E17" i="39"/>
  <c r="AQ71" i="10"/>
  <c r="J24" i="44" s="1"/>
  <c r="T13" i="41"/>
  <c r="AN95" i="10"/>
  <c r="X13" i="41" s="1"/>
  <c r="H8" i="44"/>
  <c r="H18" i="44" s="1"/>
  <c r="AO95" i="10"/>
  <c r="Y13" i="41" s="1"/>
  <c r="E9" i="39"/>
  <c r="G25" i="44"/>
  <c r="AJ96" i="10"/>
  <c r="I24" i="44"/>
  <c r="AO73" i="10"/>
  <c r="G23" i="41" s="1"/>
  <c r="H26" i="44"/>
  <c r="AP28" i="10"/>
  <c r="AQ72" i="10" s="1"/>
  <c r="I14" i="44"/>
  <c r="AP72" i="10"/>
  <c r="AJ111" i="10"/>
  <c r="D18" i="30"/>
  <c r="AN60" i="10"/>
  <c r="AN51" i="10"/>
  <c r="E27" i="39"/>
  <c r="E27" i="30"/>
  <c r="AQ18" i="10"/>
  <c r="AQ19" i="10" s="1"/>
  <c r="AO49" i="10"/>
  <c r="AO50" i="10" s="1"/>
  <c r="AP47" i="10"/>
  <c r="AP48" i="10" s="1"/>
  <c r="E20" i="34"/>
  <c r="E19" i="37"/>
  <c r="BG9" i="10"/>
  <c r="AO56" i="10"/>
  <c r="AO57" i="10" s="1"/>
  <c r="AO58" i="10" s="1"/>
  <c r="AO59" i="10" s="1"/>
  <c r="AO60" i="10" s="1"/>
  <c r="E9" i="30"/>
  <c r="AO44" i="10"/>
  <c r="AN22" i="10"/>
  <c r="AP56" i="10"/>
  <c r="AP57" i="10" s="1"/>
  <c r="AR7" i="10"/>
  <c r="E8" i="37"/>
  <c r="AQ30" i="10"/>
  <c r="AQ53" i="10"/>
  <c r="AQ54" i="10" s="1"/>
  <c r="D32" i="34"/>
  <c r="D34" i="34" s="1"/>
  <c r="AP42" i="10"/>
  <c r="AQ43" i="10"/>
  <c r="AR13" i="10"/>
  <c r="AR14" i="10" s="1"/>
  <c r="AR15" i="10" s="1"/>
  <c r="G21" i="34"/>
  <c r="G20" i="37"/>
  <c r="G10" i="30"/>
  <c r="AN40" i="10"/>
  <c r="E18" i="39" s="1"/>
  <c r="F32" i="37"/>
  <c r="F8" i="37" s="1"/>
  <c r="D31" i="37"/>
  <c r="D22" i="34"/>
  <c r="E19" i="34" s="1"/>
  <c r="AP35" i="10"/>
  <c r="AP31" i="10"/>
  <c r="AP62" i="10"/>
  <c r="AP63" i="10" s="1"/>
  <c r="AQ21" i="10"/>
  <c r="AQ15" i="10"/>
  <c r="AQ27" i="10"/>
  <c r="AO67" i="10"/>
  <c r="F33" i="34"/>
  <c r="F9" i="34" s="1"/>
  <c r="AP19" i="10" l="1"/>
  <c r="H20" i="37"/>
  <c r="AP96" i="10"/>
  <c r="Z14" i="41" s="1"/>
  <c r="T38" i="41"/>
  <c r="AP95" i="10"/>
  <c r="Z13" i="41" s="1"/>
  <c r="BG10" i="10"/>
  <c r="BG12" i="10"/>
  <c r="K12" i="44" s="1"/>
  <c r="BG14" i="10"/>
  <c r="K10" i="44" s="1"/>
  <c r="AN61" i="10"/>
  <c r="AN65" i="10"/>
  <c r="E31" i="39" s="1"/>
  <c r="AO61" i="10"/>
  <c r="AO65" i="10"/>
  <c r="F31" i="39" s="1"/>
  <c r="F17" i="30"/>
  <c r="F17" i="39"/>
  <c r="AR69" i="10"/>
  <c r="AJ97" i="10"/>
  <c r="T14" i="41"/>
  <c r="AO96" i="10"/>
  <c r="Y14" i="41" s="1"/>
  <c r="I8" i="44"/>
  <c r="I18" i="44" s="1"/>
  <c r="AP44" i="10"/>
  <c r="I25" i="44" s="1"/>
  <c r="AQ45" i="10"/>
  <c r="H10" i="30" s="1"/>
  <c r="AQ73" i="10"/>
  <c r="I23" i="41" s="1"/>
  <c r="J26" i="44"/>
  <c r="AJ79" i="10"/>
  <c r="G7" i="39"/>
  <c r="I23" i="44"/>
  <c r="F9" i="39"/>
  <c r="H25" i="44"/>
  <c r="H27" i="44" s="1"/>
  <c r="AP73" i="10"/>
  <c r="H23" i="41" s="1"/>
  <c r="I26" i="44"/>
  <c r="AQ28" i="10"/>
  <c r="J14" i="44"/>
  <c r="J8" i="44" s="1"/>
  <c r="J18" i="44" s="1"/>
  <c r="AJ112" i="10"/>
  <c r="AN71" i="10"/>
  <c r="G24" i="44" s="1"/>
  <c r="AN72" i="10"/>
  <c r="AJ113" i="10"/>
  <c r="AN111" i="10"/>
  <c r="X38" i="41" s="1"/>
  <c r="AO111" i="10"/>
  <c r="Y38" i="41" s="1"/>
  <c r="E18" i="30"/>
  <c r="F19" i="39"/>
  <c r="F19" i="30"/>
  <c r="AR20" i="10"/>
  <c r="H21" i="34"/>
  <c r="I21" i="34" s="1"/>
  <c r="AO51" i="10"/>
  <c r="F27" i="39"/>
  <c r="F27" i="30"/>
  <c r="AP49" i="10"/>
  <c r="AP50" i="10" s="1"/>
  <c r="AQ47" i="10"/>
  <c r="AQ48" i="10" s="1"/>
  <c r="AR19" i="10"/>
  <c r="F20" i="34"/>
  <c r="F19" i="37"/>
  <c r="BH9" i="10"/>
  <c r="AO22" i="10"/>
  <c r="AP58" i="10"/>
  <c r="AP59" i="10" s="1"/>
  <c r="AP60" i="10" s="1"/>
  <c r="AP22" i="10"/>
  <c r="F9" i="30"/>
  <c r="G7" i="30"/>
  <c r="E32" i="34"/>
  <c r="AQ56" i="10"/>
  <c r="AQ57" i="10" s="1"/>
  <c r="AR16" i="10"/>
  <c r="D8" i="34"/>
  <c r="D10" i="34" s="1"/>
  <c r="E31" i="37"/>
  <c r="G33" i="34"/>
  <c r="G9" i="34" s="1"/>
  <c r="G32" i="37"/>
  <c r="G8" i="37" s="1"/>
  <c r="H8" i="30"/>
  <c r="D33" i="37"/>
  <c r="D7" i="37"/>
  <c r="D21" i="37"/>
  <c r="AO40" i="10"/>
  <c r="F18" i="39" s="1"/>
  <c r="AN45" i="10"/>
  <c r="AR43" i="10"/>
  <c r="AN43" i="10"/>
  <c r="AP67" i="10"/>
  <c r="AQ31" i="10"/>
  <c r="AR40" i="10" s="1"/>
  <c r="AQ35" i="10"/>
  <c r="AQ42" i="10"/>
  <c r="AQ62" i="10"/>
  <c r="AQ67" i="10" s="1"/>
  <c r="E31" i="34"/>
  <c r="K11" i="44" l="1"/>
  <c r="K7" i="44" s="1"/>
  <c r="K17" i="44" s="1"/>
  <c r="BG16" i="10"/>
  <c r="AR70" i="10"/>
  <c r="BG11" i="10"/>
  <c r="T15" i="41"/>
  <c r="T40" i="41"/>
  <c r="AP111" i="10"/>
  <c r="Z38" i="41" s="1"/>
  <c r="AQ96" i="10"/>
  <c r="AA14" i="41" s="1"/>
  <c r="BH10" i="10"/>
  <c r="BH12" i="10"/>
  <c r="L12" i="44" s="1"/>
  <c r="BH14" i="10"/>
  <c r="L10" i="44" s="1"/>
  <c r="AP65" i="10"/>
  <c r="G31" i="39" s="1"/>
  <c r="G17" i="30"/>
  <c r="G17" i="39"/>
  <c r="I27" i="44"/>
  <c r="AP112" i="10"/>
  <c r="Z39" i="41" s="1"/>
  <c r="T39" i="41"/>
  <c r="AQ97" i="10"/>
  <c r="AA15" i="41" s="1"/>
  <c r="AP97" i="10"/>
  <c r="AQ44" i="10"/>
  <c r="H9" i="30" s="1"/>
  <c r="G9" i="30"/>
  <c r="AR45" i="10"/>
  <c r="G9" i="39"/>
  <c r="AJ80" i="10"/>
  <c r="AJ81" i="10"/>
  <c r="AN79" i="10"/>
  <c r="G13" i="41" s="1"/>
  <c r="AJ110" i="10"/>
  <c r="G26" i="44"/>
  <c r="G27" i="44" s="1"/>
  <c r="AO79" i="10"/>
  <c r="H13" i="41" s="1"/>
  <c r="H7" i="39"/>
  <c r="J23" i="44"/>
  <c r="C13" i="41"/>
  <c r="AO112" i="10"/>
  <c r="Y39" i="41" s="1"/>
  <c r="AN73" i="10"/>
  <c r="F23" i="41" s="1"/>
  <c r="E31" i="30"/>
  <c r="AQ113" i="10"/>
  <c r="AA40" i="41" s="1"/>
  <c r="AP113" i="10"/>
  <c r="AJ94" i="10"/>
  <c r="G19" i="37"/>
  <c r="G20" i="34"/>
  <c r="H19" i="39"/>
  <c r="H19" i="30"/>
  <c r="F18" i="30"/>
  <c r="G19" i="39"/>
  <c r="G19" i="30"/>
  <c r="H20" i="34"/>
  <c r="AQ49" i="10"/>
  <c r="AQ50" i="10" s="1"/>
  <c r="G27" i="39"/>
  <c r="G27" i="30"/>
  <c r="AP51" i="10"/>
  <c r="H32" i="34"/>
  <c r="BI9" i="10"/>
  <c r="E8" i="34"/>
  <c r="BG52" i="10"/>
  <c r="BG13" i="10"/>
  <c r="BG27" i="10"/>
  <c r="BG19" i="10"/>
  <c r="BG25" i="10"/>
  <c r="K14" i="44" s="1"/>
  <c r="BG15" i="10"/>
  <c r="BG29" i="10"/>
  <c r="F31" i="30"/>
  <c r="E34" i="34"/>
  <c r="F31" i="34" s="1"/>
  <c r="AQ58" i="10"/>
  <c r="AQ59" i="10" s="1"/>
  <c r="AQ60" i="10" s="1"/>
  <c r="AQ65" i="10" s="1"/>
  <c r="AQ22" i="10"/>
  <c r="AR17" i="10"/>
  <c r="E22" i="34"/>
  <c r="F19" i="34" s="1"/>
  <c r="E8" i="30"/>
  <c r="E10" i="30"/>
  <c r="I10" i="30" s="1"/>
  <c r="AP40" i="10"/>
  <c r="G18" i="39" s="1"/>
  <c r="H32" i="37"/>
  <c r="H8" i="37" s="1"/>
  <c r="E18" i="37"/>
  <c r="E21" i="37" s="1"/>
  <c r="F18" i="37" s="1"/>
  <c r="D9" i="37"/>
  <c r="H7" i="30"/>
  <c r="I7" i="30" s="1"/>
  <c r="E30" i="37"/>
  <c r="E33" i="37" s="1"/>
  <c r="F30" i="37" s="1"/>
  <c r="E7" i="37"/>
  <c r="F32" i="34"/>
  <c r="F31" i="37"/>
  <c r="H33" i="34"/>
  <c r="H9" i="34" s="1"/>
  <c r="I9" i="34" s="1"/>
  <c r="AQ63" i="10"/>
  <c r="AP61" i="10"/>
  <c r="E7" i="34"/>
  <c r="L11" i="44" l="1"/>
  <c r="L7" i="44" s="1"/>
  <c r="L17" i="44" s="1"/>
  <c r="BH16" i="10"/>
  <c r="BG17" i="10" s="1"/>
  <c r="I17" i="39" s="1"/>
  <c r="AR97" i="10"/>
  <c r="AB15" i="41" s="1"/>
  <c r="BH19" i="10"/>
  <c r="AR113" i="10"/>
  <c r="AB40" i="41" s="1"/>
  <c r="AQ112" i="10"/>
  <c r="AA39" i="41" s="1"/>
  <c r="AQ81" i="10"/>
  <c r="J15" i="41" s="1"/>
  <c r="AP80" i="10"/>
  <c r="I14" i="41" s="1"/>
  <c r="AP79" i="10"/>
  <c r="I13" i="41" s="1"/>
  <c r="BH27" i="10"/>
  <c r="L15" i="44" s="1"/>
  <c r="BH52" i="10"/>
  <c r="BH11" i="10"/>
  <c r="BH25" i="10"/>
  <c r="L14" i="44" s="1"/>
  <c r="BH29" i="10"/>
  <c r="L13" i="44" s="1"/>
  <c r="BH15" i="10"/>
  <c r="BH13" i="10"/>
  <c r="BI10" i="10"/>
  <c r="BI12" i="10"/>
  <c r="M12" i="44" s="1"/>
  <c r="BI14" i="10"/>
  <c r="BI29" i="10" s="1"/>
  <c r="G31" i="30"/>
  <c r="BG31" i="10"/>
  <c r="BH43" i="10"/>
  <c r="K24" i="44" s="1"/>
  <c r="BG42" i="10"/>
  <c r="E10" i="34"/>
  <c r="F7" i="34" s="1"/>
  <c r="AP120" i="10"/>
  <c r="H10" i="39" s="1"/>
  <c r="Z15" i="41"/>
  <c r="AP104" i="10"/>
  <c r="Z22" i="41" s="1"/>
  <c r="Z40" i="41"/>
  <c r="Z47" i="41" s="1"/>
  <c r="AN110" i="10"/>
  <c r="AN120" i="10" s="1"/>
  <c r="T37" i="41"/>
  <c r="J25" i="44"/>
  <c r="J27" i="44" s="1"/>
  <c r="AR71" i="10"/>
  <c r="AJ98" i="10" s="1"/>
  <c r="AR98" i="10" s="1"/>
  <c r="H9" i="39"/>
  <c r="I9" i="30"/>
  <c r="C14" i="41"/>
  <c r="AO80" i="10"/>
  <c r="H14" i="41" s="1"/>
  <c r="AP81" i="10"/>
  <c r="C15" i="41"/>
  <c r="BG56" i="10"/>
  <c r="BG57" i="10" s="1"/>
  <c r="K15" i="44"/>
  <c r="BG30" i="10"/>
  <c r="K13" i="44"/>
  <c r="AM110" i="10"/>
  <c r="AM120" i="10" s="1"/>
  <c r="AJ78" i="10"/>
  <c r="T12" i="41"/>
  <c r="AM94" i="10"/>
  <c r="AM104" i="10" s="1"/>
  <c r="AN94" i="10"/>
  <c r="AN104" i="10" s="1"/>
  <c r="G18" i="30"/>
  <c r="BG47" i="10"/>
  <c r="BG48" i="10" s="1"/>
  <c r="BG49" i="10" s="1"/>
  <c r="BG50" i="10" s="1"/>
  <c r="AQ51" i="10"/>
  <c r="H27" i="39"/>
  <c r="H27" i="30"/>
  <c r="I27" i="30" s="1"/>
  <c r="BJ9" i="10"/>
  <c r="BG26" i="10"/>
  <c r="BG35" i="10"/>
  <c r="F34" i="34"/>
  <c r="G31" i="34" s="1"/>
  <c r="BG28" i="10"/>
  <c r="BG53" i="10"/>
  <c r="BG54" i="10" s="1"/>
  <c r="AQ61" i="10"/>
  <c r="H31" i="39"/>
  <c r="AR60" i="10"/>
  <c r="AS60" i="10" s="1"/>
  <c r="B20" i="33" s="1"/>
  <c r="I20" i="37"/>
  <c r="G32" i="34"/>
  <c r="G8" i="34" s="1"/>
  <c r="F33" i="37"/>
  <c r="G30" i="37" s="1"/>
  <c r="I19" i="30"/>
  <c r="F8" i="34"/>
  <c r="F22" i="34"/>
  <c r="G19" i="34" s="1"/>
  <c r="G22" i="34" s="1"/>
  <c r="H19" i="34" s="1"/>
  <c r="F21" i="37"/>
  <c r="G18" i="37" s="1"/>
  <c r="G21" i="37" s="1"/>
  <c r="H18" i="37" s="1"/>
  <c r="I8" i="30"/>
  <c r="G31" i="37"/>
  <c r="E6" i="37"/>
  <c r="E9" i="37" s="1"/>
  <c r="F6" i="37" s="1"/>
  <c r="F7" i="37"/>
  <c r="I33" i="34"/>
  <c r="M11" i="44" l="1"/>
  <c r="BI16" i="10"/>
  <c r="BH17" i="10" s="1"/>
  <c r="J17" i="39" s="1"/>
  <c r="T16" i="41"/>
  <c r="AQ98" i="10"/>
  <c r="AQ104" i="10" s="1"/>
  <c r="BI19" i="10"/>
  <c r="AP88" i="10"/>
  <c r="I22" i="41" s="1"/>
  <c r="BH28" i="10"/>
  <c r="BH53" i="10"/>
  <c r="BH54" i="10" s="1"/>
  <c r="AO94" i="10"/>
  <c r="AO104" i="10" s="1"/>
  <c r="AQ80" i="10"/>
  <c r="J14" i="41" s="1"/>
  <c r="AR81" i="10"/>
  <c r="K15" i="41" s="1"/>
  <c r="AO110" i="10"/>
  <c r="AO120" i="10" s="1"/>
  <c r="G10" i="39" s="1"/>
  <c r="BH56" i="10"/>
  <c r="BH57" i="10" s="1"/>
  <c r="J20" i="37"/>
  <c r="BH26" i="10"/>
  <c r="BH30" i="10"/>
  <c r="BH47" i="10"/>
  <c r="BH48" i="10" s="1"/>
  <c r="BH49" i="10" s="1"/>
  <c r="BH50" i="10" s="1"/>
  <c r="BH31" i="10"/>
  <c r="BG40" i="10" s="1"/>
  <c r="I18" i="39" s="1"/>
  <c r="BI43" i="10"/>
  <c r="L24" i="44" s="1"/>
  <c r="BI52" i="10"/>
  <c r="BI13" i="10"/>
  <c r="BH35" i="10"/>
  <c r="BI27" i="10"/>
  <c r="M15" i="44" s="1"/>
  <c r="BH42" i="10"/>
  <c r="J7" i="39" s="1"/>
  <c r="BI25" i="10"/>
  <c r="M14" i="44" s="1"/>
  <c r="BI11" i="10"/>
  <c r="M10" i="44"/>
  <c r="BI15" i="10"/>
  <c r="AS71" i="10"/>
  <c r="AJ99" i="10" s="1"/>
  <c r="AS99" i="10" s="1"/>
  <c r="AC17" i="41" s="1"/>
  <c r="BJ14" i="10"/>
  <c r="N10" i="44" s="1"/>
  <c r="BJ10" i="10"/>
  <c r="BJ12" i="10"/>
  <c r="N12" i="44" s="1"/>
  <c r="BI30" i="10"/>
  <c r="BG44" i="10"/>
  <c r="BH45" i="10"/>
  <c r="K26" i="44" s="1"/>
  <c r="I32" i="37"/>
  <c r="I8" i="37" s="1"/>
  <c r="BG62" i="10"/>
  <c r="BG63" i="10" s="1"/>
  <c r="BG65" i="10" s="1"/>
  <c r="H17" i="30"/>
  <c r="I17" i="30" s="1"/>
  <c r="H17" i="39"/>
  <c r="C12" i="41"/>
  <c r="F10" i="34"/>
  <c r="G7" i="34" s="1"/>
  <c r="G10" i="34" s="1"/>
  <c r="F10" i="39"/>
  <c r="X37" i="41"/>
  <c r="X47" i="41" s="1"/>
  <c r="E10" i="39"/>
  <c r="W37" i="41"/>
  <c r="W47" i="41" s="1"/>
  <c r="H8" i="39"/>
  <c r="BG20" i="10"/>
  <c r="BG21" i="10" s="1"/>
  <c r="BG23" i="10" s="1"/>
  <c r="J25" i="39" s="1"/>
  <c r="M13" i="44"/>
  <c r="AN78" i="10"/>
  <c r="I7" i="39"/>
  <c r="K23" i="44"/>
  <c r="K8" i="44"/>
  <c r="K18" i="44" s="1"/>
  <c r="I15" i="41"/>
  <c r="L8" i="44"/>
  <c r="L18" i="44" s="1"/>
  <c r="AM78" i="10"/>
  <c r="AR72" i="10"/>
  <c r="W12" i="41"/>
  <c r="AB16" i="41"/>
  <c r="X12" i="41"/>
  <c r="AR61" i="10"/>
  <c r="I27" i="39"/>
  <c r="BG51" i="10"/>
  <c r="I19" i="37"/>
  <c r="H19" i="37"/>
  <c r="BK9" i="10"/>
  <c r="H31" i="30"/>
  <c r="I31" i="30" s="1"/>
  <c r="C20" i="33"/>
  <c r="G34" i="34"/>
  <c r="H31" i="34" s="1"/>
  <c r="AQ40" i="10"/>
  <c r="G33" i="37"/>
  <c r="H30" i="37" s="1"/>
  <c r="G7" i="37"/>
  <c r="F9" i="37"/>
  <c r="G6" i="37" s="1"/>
  <c r="M7" i="44" l="1"/>
  <c r="M17" i="44" s="1"/>
  <c r="N11" i="44"/>
  <c r="N7" i="44" s="1"/>
  <c r="N17" i="44" s="1"/>
  <c r="BJ16" i="10"/>
  <c r="BI17" i="10" s="1"/>
  <c r="K17" i="39" s="1"/>
  <c r="AA16" i="41"/>
  <c r="AS98" i="10"/>
  <c r="AC16" i="41" s="1"/>
  <c r="T17" i="41"/>
  <c r="AR99" i="10"/>
  <c r="AB17" i="41" s="1"/>
  <c r="AR73" i="10"/>
  <c r="AJ114" i="10"/>
  <c r="Y12" i="41"/>
  <c r="BJ19" i="10"/>
  <c r="AO78" i="10"/>
  <c r="AO88" i="10" s="1"/>
  <c r="H22" i="41" s="1"/>
  <c r="Y37" i="41"/>
  <c r="Y47" i="41" s="1"/>
  <c r="BH20" i="10"/>
  <c r="BH21" i="10" s="1"/>
  <c r="BH23" i="10" s="1"/>
  <c r="K25" i="39" s="1"/>
  <c r="BH62" i="10"/>
  <c r="BH63" i="10" s="1"/>
  <c r="BH44" i="10"/>
  <c r="J9" i="39" s="1"/>
  <c r="BI45" i="10"/>
  <c r="L26" i="44" s="1"/>
  <c r="AS72" i="10"/>
  <c r="AJ115" i="10" s="1"/>
  <c r="J32" i="37"/>
  <c r="J8" i="37" s="1"/>
  <c r="BJ15" i="10"/>
  <c r="BJ11" i="10"/>
  <c r="BI28" i="10"/>
  <c r="BI53" i="10"/>
  <c r="BI54" i="10" s="1"/>
  <c r="BJ43" i="10"/>
  <c r="M24" i="44" s="1"/>
  <c r="BI35" i="10"/>
  <c r="BJ25" i="10"/>
  <c r="N14" i="44" s="1"/>
  <c r="K20" i="37"/>
  <c r="BJ29" i="10"/>
  <c r="N13" i="44" s="1"/>
  <c r="BJ52" i="10"/>
  <c r="BJ27" i="10"/>
  <c r="N15" i="44" s="1"/>
  <c r="BI42" i="10"/>
  <c r="K7" i="39" s="1"/>
  <c r="BI31" i="10"/>
  <c r="BH40" i="10" s="1"/>
  <c r="J18" i="39" s="1"/>
  <c r="BI26" i="10"/>
  <c r="L23" i="44"/>
  <c r="BI56" i="10"/>
  <c r="BI57" i="10" s="1"/>
  <c r="BI47" i="10"/>
  <c r="BI48" i="10" s="1"/>
  <c r="BI49" i="10" s="1"/>
  <c r="BI50" i="10" s="1"/>
  <c r="BK12" i="10"/>
  <c r="O12" i="44" s="1"/>
  <c r="BK14" i="10"/>
  <c r="O10" i="44" s="1"/>
  <c r="BK10" i="10"/>
  <c r="AT71" i="10"/>
  <c r="AJ100" i="10" s="1"/>
  <c r="AT100" i="10" s="1"/>
  <c r="AD18" i="41" s="1"/>
  <c r="BG67" i="10"/>
  <c r="I19" i="39" s="1"/>
  <c r="BJ13" i="10"/>
  <c r="H18" i="30"/>
  <c r="I18" i="30" s="1"/>
  <c r="H18" i="39"/>
  <c r="F12" i="41"/>
  <c r="AM88" i="10"/>
  <c r="F22" i="41" s="1"/>
  <c r="AN88" i="10"/>
  <c r="G22" i="41" s="1"/>
  <c r="H7" i="34"/>
  <c r="M8" i="44"/>
  <c r="M18" i="44" s="1"/>
  <c r="G12" i="41"/>
  <c r="I9" i="39"/>
  <c r="K25" i="44"/>
  <c r="K27" i="44" s="1"/>
  <c r="W22" i="41"/>
  <c r="E8" i="39"/>
  <c r="G8" i="39"/>
  <c r="Y22" i="41"/>
  <c r="I8" i="39"/>
  <c r="AA22" i="41"/>
  <c r="X22" i="41"/>
  <c r="F8" i="39"/>
  <c r="BF60" i="10"/>
  <c r="C27" i="32"/>
  <c r="AS62" i="10"/>
  <c r="BF61" i="10" s="1"/>
  <c r="BH51" i="10"/>
  <c r="J27" i="39"/>
  <c r="H31" i="37"/>
  <c r="H7" i="37" s="1"/>
  <c r="J19" i="37"/>
  <c r="BL9" i="10"/>
  <c r="I20" i="34"/>
  <c r="I32" i="34"/>
  <c r="AR41" i="10"/>
  <c r="I31" i="37"/>
  <c r="I7" i="37" s="1"/>
  <c r="G9" i="37"/>
  <c r="H6" i="37" s="1"/>
  <c r="H21" i="37"/>
  <c r="O11" i="44" l="1"/>
  <c r="O7" i="44" s="1"/>
  <c r="O17" i="44" s="1"/>
  <c r="BK16" i="10"/>
  <c r="BJ17" i="10" s="1"/>
  <c r="L17" i="39" s="1"/>
  <c r="AT99" i="10"/>
  <c r="AD17" i="41" s="1"/>
  <c r="AR104" i="10"/>
  <c r="AB22" i="41" s="1"/>
  <c r="H12" i="41"/>
  <c r="AS100" i="10"/>
  <c r="AC18" i="41" s="1"/>
  <c r="T18" i="41"/>
  <c r="AQ114" i="10"/>
  <c r="AR114" i="10"/>
  <c r="AB41" i="41" s="1"/>
  <c r="T41" i="41"/>
  <c r="J23" i="41"/>
  <c r="AJ82" i="10"/>
  <c r="BK19" i="10"/>
  <c r="L25" i="44"/>
  <c r="L27" i="44" s="1"/>
  <c r="BH67" i="10"/>
  <c r="J19" i="39" s="1"/>
  <c r="AS73" i="10"/>
  <c r="BJ28" i="10"/>
  <c r="BJ56" i="10"/>
  <c r="BJ57" i="10" s="1"/>
  <c r="BK29" i="10"/>
  <c r="BK30" i="10" s="1"/>
  <c r="BK27" i="10"/>
  <c r="O15" i="44" s="1"/>
  <c r="BJ42" i="10"/>
  <c r="L7" i="39" s="1"/>
  <c r="BJ45" i="10"/>
  <c r="M26" i="44" s="1"/>
  <c r="M23" i="44"/>
  <c r="BJ53" i="10"/>
  <c r="BJ54" i="10" s="1"/>
  <c r="AU71" i="10"/>
  <c r="AJ101" i="10" s="1"/>
  <c r="T19" i="41" s="1"/>
  <c r="K32" i="37"/>
  <c r="K8" i="37" s="1"/>
  <c r="N8" i="44"/>
  <c r="N18" i="44" s="1"/>
  <c r="AT72" i="10"/>
  <c r="BJ26" i="10"/>
  <c r="BI20" i="10"/>
  <c r="BI21" i="10" s="1"/>
  <c r="BI23" i="10" s="1"/>
  <c r="L25" i="39" s="1"/>
  <c r="BK43" i="10"/>
  <c r="N24" i="44" s="1"/>
  <c r="BK13" i="10"/>
  <c r="BJ35" i="10"/>
  <c r="BJ47" i="10"/>
  <c r="BJ48" i="10" s="1"/>
  <c r="BJ49" i="10" s="1"/>
  <c r="BJ50" i="10" s="1"/>
  <c r="BK15" i="10"/>
  <c r="BJ30" i="10"/>
  <c r="BJ31" i="10"/>
  <c r="BI40" i="10" s="1"/>
  <c r="K18" i="39" s="1"/>
  <c r="L20" i="37"/>
  <c r="BI44" i="10"/>
  <c r="M25" i="44" s="1"/>
  <c r="BI62" i="10"/>
  <c r="BI67" i="10" s="1"/>
  <c r="K19" i="39" s="1"/>
  <c r="BK11" i="10"/>
  <c r="BK25" i="10"/>
  <c r="O14" i="44" s="1"/>
  <c r="BL10" i="10"/>
  <c r="BL12" i="10"/>
  <c r="P12" i="44" s="1"/>
  <c r="Q12" i="44" s="1"/>
  <c r="BL14" i="10"/>
  <c r="P10" i="44" s="1"/>
  <c r="Q10" i="44" s="1"/>
  <c r="BK52" i="10"/>
  <c r="BH65" i="10"/>
  <c r="J31" i="39" s="1"/>
  <c r="J31" i="37"/>
  <c r="J7" i="37" s="1"/>
  <c r="I31" i="39"/>
  <c r="T42" i="41"/>
  <c r="AS115" i="10"/>
  <c r="AR115" i="10"/>
  <c r="C21" i="33"/>
  <c r="B21" i="33"/>
  <c r="K27" i="39"/>
  <c r="BI51" i="10"/>
  <c r="H33" i="37"/>
  <c r="I30" i="37" s="1"/>
  <c r="I33" i="37" s="1"/>
  <c r="J30" i="37" s="1"/>
  <c r="I18" i="37"/>
  <c r="I21" i="37" s="1"/>
  <c r="J18" i="37" s="1"/>
  <c r="J21" i="37" s="1"/>
  <c r="K18" i="37" s="1"/>
  <c r="K19" i="37"/>
  <c r="BM9" i="10"/>
  <c r="H8" i="34"/>
  <c r="H10" i="34" s="1"/>
  <c r="H22" i="34"/>
  <c r="I24" i="34" s="1"/>
  <c r="H34" i="34"/>
  <c r="I36" i="34" s="1"/>
  <c r="H9" i="37"/>
  <c r="I6" i="37" s="1"/>
  <c r="I9" i="37" s="1"/>
  <c r="J6" i="37" s="1"/>
  <c r="J8" i="39" l="1"/>
  <c r="P11" i="44"/>
  <c r="Q11" i="44" s="1"/>
  <c r="BL16" i="10"/>
  <c r="BM18" i="10" s="1"/>
  <c r="AR120" i="10"/>
  <c r="J10" i="39" s="1"/>
  <c r="AS104" i="10"/>
  <c r="K8" i="39" s="1"/>
  <c r="AS114" i="10"/>
  <c r="AC41" i="41" s="1"/>
  <c r="AU100" i="10"/>
  <c r="AE18" i="41" s="1"/>
  <c r="AQ82" i="10"/>
  <c r="C16" i="41"/>
  <c r="AR82" i="10"/>
  <c r="K16" i="41" s="1"/>
  <c r="AJ83" i="10"/>
  <c r="K23" i="41"/>
  <c r="AT101" i="10"/>
  <c r="AD19" i="41" s="1"/>
  <c r="AU101" i="10"/>
  <c r="AE19" i="41" s="1"/>
  <c r="AT73" i="10"/>
  <c r="AJ116" i="10"/>
  <c r="AQ120" i="10"/>
  <c r="I10" i="39" s="1"/>
  <c r="AA41" i="41"/>
  <c r="AA47" i="41" s="1"/>
  <c r="BL19" i="10"/>
  <c r="N23" i="44"/>
  <c r="AT115" i="10"/>
  <c r="AD42" i="41" s="1"/>
  <c r="BJ20" i="10"/>
  <c r="BJ21" i="10" s="1"/>
  <c r="BJ23" i="10" s="1"/>
  <c r="M25" i="39" s="1"/>
  <c r="BK56" i="10"/>
  <c r="BK57" i="10" s="1"/>
  <c r="O13" i="44"/>
  <c r="O8" i="44" s="1"/>
  <c r="O18" i="44" s="1"/>
  <c r="BK53" i="10"/>
  <c r="BK54" i="10" s="1"/>
  <c r="BK28" i="10"/>
  <c r="M20" i="37"/>
  <c r="M27" i="44"/>
  <c r="BK45" i="10"/>
  <c r="N26" i="44" s="1"/>
  <c r="AU72" i="10"/>
  <c r="BL15" i="10"/>
  <c r="L32" i="37"/>
  <c r="L8" i="37" s="1"/>
  <c r="BJ62" i="10"/>
  <c r="BJ63" i="10" s="1"/>
  <c r="BJ65" i="10" s="1"/>
  <c r="L31" i="39" s="1"/>
  <c r="BJ44" i="10"/>
  <c r="L9" i="39" s="1"/>
  <c r="BL43" i="10"/>
  <c r="O24" i="44" s="1"/>
  <c r="BL25" i="10"/>
  <c r="P14" i="44" s="1"/>
  <c r="Q14" i="44" s="1"/>
  <c r="BK35" i="10"/>
  <c r="BK26" i="10"/>
  <c r="BK47" i="10"/>
  <c r="BK48" i="10" s="1"/>
  <c r="BK49" i="10" s="1"/>
  <c r="BK50" i="10" s="1"/>
  <c r="BK31" i="10"/>
  <c r="M32" i="37" s="1"/>
  <c r="K9" i="39"/>
  <c r="BI63" i="10"/>
  <c r="BL27" i="10"/>
  <c r="P15" i="44" s="1"/>
  <c r="Q15" i="44" s="1"/>
  <c r="BL29" i="10"/>
  <c r="BL30" i="10" s="1"/>
  <c r="AV71" i="10"/>
  <c r="AJ102" i="10" s="1"/>
  <c r="AV102" i="10" s="1"/>
  <c r="AF20" i="41" s="1"/>
  <c r="BK42" i="10"/>
  <c r="O23" i="44" s="1"/>
  <c r="BM10" i="10"/>
  <c r="BM12" i="10"/>
  <c r="BM13" i="10" s="1"/>
  <c r="BM14" i="10"/>
  <c r="BM29" i="10" s="1"/>
  <c r="BL52" i="10"/>
  <c r="BL13" i="10"/>
  <c r="BL11" i="10"/>
  <c r="J33" i="37"/>
  <c r="K30" i="37" s="1"/>
  <c r="BI65" i="10"/>
  <c r="K31" i="39" s="1"/>
  <c r="AC42" i="41"/>
  <c r="AB42" i="41"/>
  <c r="AB47" i="41" s="1"/>
  <c r="BJ51" i="10"/>
  <c r="L27" i="39"/>
  <c r="K21" i="37"/>
  <c r="L18" i="37" s="1"/>
  <c r="J9" i="37"/>
  <c r="K6" i="37" s="1"/>
  <c r="L19" i="37"/>
  <c r="K31" i="37"/>
  <c r="I22" i="34"/>
  <c r="I8" i="34"/>
  <c r="I34" i="34"/>
  <c r="I10" i="34"/>
  <c r="I12" i="34"/>
  <c r="P7" i="44" l="1"/>
  <c r="P17" i="44" s="1"/>
  <c r="BM25" i="10"/>
  <c r="BM26" i="10" s="1"/>
  <c r="BM16" i="10"/>
  <c r="BM17" i="10" s="1"/>
  <c r="AC22" i="41"/>
  <c r="AW71" i="10"/>
  <c r="AJ103" i="10" s="1"/>
  <c r="AJ104" i="10" s="1"/>
  <c r="T22" i="41" s="1"/>
  <c r="AV101" i="10"/>
  <c r="AF19" i="41" s="1"/>
  <c r="AT104" i="10"/>
  <c r="L8" i="39" s="1"/>
  <c r="AJ84" i="10"/>
  <c r="C18" i="41" s="1"/>
  <c r="L23" i="41"/>
  <c r="AU73" i="10"/>
  <c r="AJ117" i="10"/>
  <c r="T44" i="41" s="1"/>
  <c r="AR83" i="10"/>
  <c r="C17" i="41"/>
  <c r="AS83" i="10"/>
  <c r="L17" i="41" s="1"/>
  <c r="AU102" i="10"/>
  <c r="AU104" i="10" s="1"/>
  <c r="AE22" i="41" s="1"/>
  <c r="T20" i="41"/>
  <c r="AS82" i="10"/>
  <c r="L16" i="41" s="1"/>
  <c r="AS116" i="10"/>
  <c r="AT116" i="10"/>
  <c r="AD43" i="41" s="1"/>
  <c r="T43" i="41"/>
  <c r="AQ88" i="10"/>
  <c r="J22" i="41" s="1"/>
  <c r="J16" i="41"/>
  <c r="BM19" i="10"/>
  <c r="BM20" i="10" s="1"/>
  <c r="BK20" i="10"/>
  <c r="BK21" i="10" s="1"/>
  <c r="BK23" i="10" s="1"/>
  <c r="N25" i="39" s="1"/>
  <c r="BL45" i="10"/>
  <c r="O26" i="44" s="1"/>
  <c r="M8" i="37"/>
  <c r="BL53" i="10"/>
  <c r="BL54" i="10" s="1"/>
  <c r="BJ67" i="10"/>
  <c r="L19" i="39" s="1"/>
  <c r="BL56" i="10"/>
  <c r="BL57" i="10" s="1"/>
  <c r="BL35" i="10"/>
  <c r="BL26" i="10"/>
  <c r="P13" i="44"/>
  <c r="Q13" i="44" s="1"/>
  <c r="BL47" i="10"/>
  <c r="BL48" i="10" s="1"/>
  <c r="BL49" i="10" s="1"/>
  <c r="BL50" i="10" s="1"/>
  <c r="BL51" i="10" s="1"/>
  <c r="N25" i="44"/>
  <c r="N27" i="44" s="1"/>
  <c r="AV72" i="10"/>
  <c r="BJ40" i="10"/>
  <c r="L18" i="39" s="1"/>
  <c r="BL28" i="10"/>
  <c r="BL31" i="10"/>
  <c r="BK40" i="10" s="1"/>
  <c r="M31" i="37" s="1"/>
  <c r="BK62" i="10"/>
  <c r="BK63" i="10" s="1"/>
  <c r="BK65" i="10" s="1"/>
  <c r="M31" i="39" s="1"/>
  <c r="BK44" i="10"/>
  <c r="O25" i="44" s="1"/>
  <c r="M7" i="39"/>
  <c r="BM11" i="10"/>
  <c r="BM27" i="10"/>
  <c r="BM28" i="10" s="1"/>
  <c r="BK17" i="10"/>
  <c r="M17" i="39" s="1"/>
  <c r="N20" i="37"/>
  <c r="O20" i="37" s="1"/>
  <c r="BM15" i="10"/>
  <c r="BM43" i="10"/>
  <c r="P24" i="44" s="1"/>
  <c r="Q24" i="44" s="1"/>
  <c r="BL42" i="10"/>
  <c r="P23" i="44" s="1"/>
  <c r="BM30" i="10"/>
  <c r="BK51" i="10"/>
  <c r="M27" i="39"/>
  <c r="L21" i="37"/>
  <c r="M18" i="37" s="1"/>
  <c r="K7" i="37"/>
  <c r="K9" i="37" s="1"/>
  <c r="L6" i="37" s="1"/>
  <c r="K33" i="37"/>
  <c r="L30" i="37" s="1"/>
  <c r="Q7" i="44" l="1"/>
  <c r="Q17" i="44" s="1"/>
  <c r="AW103" i="10"/>
  <c r="AG21" i="41" s="1"/>
  <c r="BM45" i="10"/>
  <c r="P26" i="44" s="1"/>
  <c r="Q26" i="44" s="1"/>
  <c r="AV103" i="10"/>
  <c r="AF21" i="41" s="1"/>
  <c r="T21" i="41"/>
  <c r="AG24" i="41" s="1"/>
  <c r="M8" i="39"/>
  <c r="AT84" i="10"/>
  <c r="M18" i="41" s="1"/>
  <c r="AE20" i="41"/>
  <c r="AD22" i="41"/>
  <c r="AW102" i="10"/>
  <c r="AG20" i="41" s="1"/>
  <c r="AU117" i="10"/>
  <c r="AE44" i="41" s="1"/>
  <c r="AS84" i="10"/>
  <c r="AT117" i="10"/>
  <c r="AT120" i="10" s="1"/>
  <c r="L10" i="39" s="1"/>
  <c r="AR88" i="10"/>
  <c r="K22" i="41" s="1"/>
  <c r="K17" i="41"/>
  <c r="AT83" i="10"/>
  <c r="M17" i="41" s="1"/>
  <c r="AC43" i="41"/>
  <c r="AC47" i="41" s="1"/>
  <c r="AS120" i="10"/>
  <c r="K10" i="39" s="1"/>
  <c r="AU116" i="10"/>
  <c r="AE43" i="41" s="1"/>
  <c r="AJ85" i="10"/>
  <c r="M23" i="41"/>
  <c r="AV73" i="10"/>
  <c r="AJ118" i="10"/>
  <c r="T45" i="41" s="1"/>
  <c r="AW72" i="10"/>
  <c r="O27" i="44"/>
  <c r="BL20" i="10"/>
  <c r="BL21" i="10" s="1"/>
  <c r="BL23" i="10" s="1"/>
  <c r="C33" i="33" s="1"/>
  <c r="P8" i="44"/>
  <c r="Q8" i="44" s="1"/>
  <c r="Q18" i="44" s="1"/>
  <c r="L31" i="37"/>
  <c r="L7" i="37" s="1"/>
  <c r="L9" i="37" s="1"/>
  <c r="M6" i="37" s="1"/>
  <c r="BL62" i="10"/>
  <c r="BL63" i="10" s="1"/>
  <c r="BL65" i="10" s="1"/>
  <c r="BL44" i="10"/>
  <c r="P25" i="44" s="1"/>
  <c r="Q25" i="44" s="1"/>
  <c r="N32" i="37"/>
  <c r="N8" i="37" s="1"/>
  <c r="O8" i="37" s="1"/>
  <c r="C11" i="32" s="1"/>
  <c r="BM31" i="10"/>
  <c r="BM40" i="10" s="1"/>
  <c r="BK67" i="10"/>
  <c r="M19" i="39" s="1"/>
  <c r="M9" i="39"/>
  <c r="M19" i="37"/>
  <c r="M7" i="37" s="1"/>
  <c r="BL17" i="10"/>
  <c r="N17" i="39" s="1"/>
  <c r="O17" i="39" s="1"/>
  <c r="N7" i="39"/>
  <c r="O7" i="39" s="1"/>
  <c r="M18" i="39"/>
  <c r="Q23" i="44"/>
  <c r="N27" i="39"/>
  <c r="O27" i="39" s="1"/>
  <c r="BE50" i="10"/>
  <c r="C16" i="33" s="1"/>
  <c r="BM51" i="10"/>
  <c r="BM49" i="10" s="1"/>
  <c r="O25" i="39"/>
  <c r="C25" i="32" l="1"/>
  <c r="BM48" i="10"/>
  <c r="AX103" i="10"/>
  <c r="AX104" i="10" s="1"/>
  <c r="AH22" i="41" s="1"/>
  <c r="AV104" i="10"/>
  <c r="AF22" i="41" s="1"/>
  <c r="AU84" i="10"/>
  <c r="N18" i="41" s="1"/>
  <c r="L18" i="41"/>
  <c r="AW104" i="10"/>
  <c r="AG22" i="41" s="1"/>
  <c r="AS88" i="10"/>
  <c r="L22" i="41" s="1"/>
  <c r="AD44" i="41"/>
  <c r="AD47" i="41" s="1"/>
  <c r="AV118" i="10"/>
  <c r="AF45" i="41" s="1"/>
  <c r="AU118" i="10"/>
  <c r="AU120" i="10" s="1"/>
  <c r="M10" i="39" s="1"/>
  <c r="AV117" i="10"/>
  <c r="AF44" i="41" s="1"/>
  <c r="AT85" i="10"/>
  <c r="AU85" i="10"/>
  <c r="N19" i="41" s="1"/>
  <c r="C19" i="41"/>
  <c r="AW73" i="10"/>
  <c r="AJ119" i="10"/>
  <c r="AV119" i="10" s="1"/>
  <c r="N23" i="41"/>
  <c r="AJ86" i="10"/>
  <c r="C23" i="32"/>
  <c r="P18" i="44"/>
  <c r="BL67" i="10"/>
  <c r="N19" i="39" s="1"/>
  <c r="O19" i="39" s="1"/>
  <c r="L33" i="37"/>
  <c r="M30" i="37" s="1"/>
  <c r="M33" i="37" s="1"/>
  <c r="N30" i="37" s="1"/>
  <c r="N9" i="39"/>
  <c r="O9" i="39" s="1"/>
  <c r="O32" i="37"/>
  <c r="BL40" i="10"/>
  <c r="BM41" i="10" s="1"/>
  <c r="M21" i="37"/>
  <c r="N18" i="37" s="1"/>
  <c r="N19" i="37"/>
  <c r="O19" i="37" s="1"/>
  <c r="M9" i="37"/>
  <c r="N6" i="37" s="1"/>
  <c r="P27" i="44"/>
  <c r="Q27" i="44"/>
  <c r="C8" i="32" s="1"/>
  <c r="AW105" i="10" l="1"/>
  <c r="AH21" i="41"/>
  <c r="N8" i="39"/>
  <c r="O8" i="39" s="1"/>
  <c r="AE45" i="41"/>
  <c r="AE47" i="41" s="1"/>
  <c r="AV120" i="10"/>
  <c r="N10" i="39" s="1"/>
  <c r="O10" i="39" s="1"/>
  <c r="AW118" i="10"/>
  <c r="AG45" i="41" s="1"/>
  <c r="AJ120" i="10"/>
  <c r="AV85" i="10"/>
  <c r="O19" i="41" s="1"/>
  <c r="T46" i="41"/>
  <c r="T47" i="41" s="1"/>
  <c r="AJ87" i="10"/>
  <c r="O23" i="41"/>
  <c r="AF46" i="41"/>
  <c r="AF47" i="41" s="1"/>
  <c r="AW119" i="10"/>
  <c r="AX119" i="10" s="1"/>
  <c r="AX120" i="10" s="1"/>
  <c r="AV86" i="10"/>
  <c r="O20" i="41" s="1"/>
  <c r="C20" i="41"/>
  <c r="AU86" i="10"/>
  <c r="M19" i="41"/>
  <c r="AT88" i="10"/>
  <c r="M22" i="41" s="1"/>
  <c r="BN67" i="10"/>
  <c r="C9" i="32" s="1"/>
  <c r="E10" i="32" s="1"/>
  <c r="N31" i="37"/>
  <c r="N7" i="37" s="1"/>
  <c r="O7" i="37" s="1"/>
  <c r="N18" i="39"/>
  <c r="O18" i="39" s="1"/>
  <c r="N21" i="37"/>
  <c r="O23" i="37" s="1"/>
  <c r="N31" i="39"/>
  <c r="O31" i="39" s="1"/>
  <c r="C30" i="32" s="1"/>
  <c r="E33" i="32" s="1"/>
  <c r="BN65" i="10"/>
  <c r="C17" i="33"/>
  <c r="E22" i="33" s="1"/>
  <c r="E12" i="32" l="1"/>
  <c r="AG49" i="41"/>
  <c r="AG46" i="41"/>
  <c r="AG47" i="41" s="1"/>
  <c r="AW120" i="10"/>
  <c r="AW86" i="10"/>
  <c r="P20" i="41" s="1"/>
  <c r="N20" i="41"/>
  <c r="AU88" i="10"/>
  <c r="N22" i="41" s="1"/>
  <c r="AW87" i="10"/>
  <c r="P21" i="41" s="1"/>
  <c r="AV87" i="10"/>
  <c r="AJ88" i="10"/>
  <c r="C22" i="41" s="1"/>
  <c r="C21" i="41"/>
  <c r="P24" i="41" s="1"/>
  <c r="AH46" i="41"/>
  <c r="AH47" i="41" s="1"/>
  <c r="AW121" i="10"/>
  <c r="O31" i="37"/>
  <c r="N33" i="37"/>
  <c r="O33" i="37" s="1"/>
  <c r="N9" i="37"/>
  <c r="O11" i="37" s="1"/>
  <c r="O21" i="37"/>
  <c r="E35" i="32"/>
  <c r="F130" i="10" l="1"/>
  <c r="P25" i="41"/>
  <c r="AV88" i="10"/>
  <c r="O22" i="41" s="1"/>
  <c r="O21" i="41"/>
  <c r="AX87" i="10"/>
  <c r="AW88" i="10"/>
  <c r="P22" i="41" s="1"/>
  <c r="O9" i="37"/>
  <c r="C10" i="33" s="1"/>
  <c r="O35" i="37"/>
  <c r="C15" i="16"/>
  <c r="C36" i="16" s="1"/>
  <c r="AX88" i="10" l="1"/>
  <c r="Q22" i="41" s="1"/>
  <c r="Q21" i="41"/>
  <c r="AW89" i="10"/>
  <c r="C40" i="16"/>
  <c r="BA89" i="10" l="1"/>
  <c r="BN68" i="10"/>
  <c r="C9" i="33"/>
  <c r="O124" i="10"/>
  <c r="D11" i="2" s="1"/>
  <c r="D13" i="2" s="1"/>
  <c r="D38" i="16"/>
  <c r="D13" i="16" l="1"/>
  <c r="D15" i="16" s="1"/>
  <c r="O125" i="10"/>
  <c r="O126" i="10" l="1"/>
  <c r="D25" i="2" s="1"/>
  <c r="O127" i="10"/>
  <c r="P123" i="10"/>
  <c r="D31" i="2" l="1"/>
  <c r="D33" i="2" s="1"/>
  <c r="D37" i="2" s="1"/>
  <c r="E35" i="2" s="1"/>
  <c r="O128" i="10"/>
  <c r="D28" i="16"/>
  <c r="D34" i="16" s="1"/>
  <c r="D36" i="16" s="1"/>
  <c r="D40" i="16" s="1"/>
  <c r="P124" i="10" l="1"/>
  <c r="E11" i="2" s="1"/>
  <c r="E13" i="2" s="1"/>
  <c r="E38" i="16"/>
  <c r="E13" i="16" l="1"/>
  <c r="E15" i="16" s="1"/>
  <c r="P125" i="10"/>
  <c r="P127" i="10" s="1"/>
  <c r="Q123" i="10" l="1"/>
  <c r="P126" i="10"/>
  <c r="E25" i="2" s="1"/>
  <c r="E31" i="2" s="1"/>
  <c r="E33" i="2" s="1"/>
  <c r="E37" i="2" s="1"/>
  <c r="F35" i="2" s="1"/>
  <c r="E28" i="16" l="1"/>
  <c r="E34" i="16" s="1"/>
  <c r="E36" i="16" s="1"/>
  <c r="E40" i="16" s="1"/>
  <c r="F38" i="16" s="1"/>
  <c r="P128" i="10"/>
  <c r="Q124" i="10" l="1"/>
  <c r="F13" i="16" s="1"/>
  <c r="F15" i="16" s="1"/>
  <c r="F11" i="2" l="1"/>
  <c r="F13" i="2" s="1"/>
  <c r="Q125" i="10"/>
  <c r="Q127" i="10" l="1"/>
  <c r="Q126" i="10"/>
  <c r="R123" i="10"/>
  <c r="Q128" i="10" l="1"/>
  <c r="F28" i="16"/>
  <c r="F34" i="16" s="1"/>
  <c r="F36" i="16" s="1"/>
  <c r="F40" i="16" s="1"/>
  <c r="F25" i="2"/>
  <c r="F31" i="2" s="1"/>
  <c r="F33" i="2" s="1"/>
  <c r="F37" i="2" s="1"/>
  <c r="G35" i="2" s="1"/>
  <c r="R124" i="10" l="1"/>
  <c r="G38" i="16"/>
  <c r="R125" i="10" l="1"/>
  <c r="G11" i="2"/>
  <c r="G13" i="2" s="1"/>
  <c r="G13" i="16"/>
  <c r="G15" i="16" s="1"/>
  <c r="R127" i="10" l="1"/>
  <c r="R126" i="10"/>
  <c r="S123" i="10"/>
  <c r="G28" i="16" l="1"/>
  <c r="G34" i="16" s="1"/>
  <c r="G36" i="16" s="1"/>
  <c r="G40" i="16" s="1"/>
  <c r="R128" i="10"/>
  <c r="G25" i="2"/>
  <c r="G31" i="2" s="1"/>
  <c r="G33" i="2" s="1"/>
  <c r="G37" i="2" s="1"/>
  <c r="H35" i="2" s="1"/>
  <c r="S124" i="10" l="1"/>
  <c r="H38" i="16"/>
  <c r="H11" i="2" l="1"/>
  <c r="H13" i="2" s="1"/>
  <c r="I13" i="2" s="1"/>
  <c r="H13" i="16"/>
  <c r="H15" i="16" s="1"/>
  <c r="S125" i="10"/>
  <c r="S127" i="10" l="1"/>
  <c r="S126" i="10"/>
  <c r="T123" i="10"/>
  <c r="S128" i="10" l="1"/>
  <c r="H25" i="2"/>
  <c r="H28" i="16"/>
  <c r="H34" i="16" s="1"/>
  <c r="H36" i="16" s="1"/>
  <c r="H40" i="16" s="1"/>
  <c r="H31" i="2" l="1"/>
  <c r="I25" i="2"/>
  <c r="T124" i="10"/>
  <c r="I38" i="16"/>
  <c r="I11" i="2" l="1"/>
  <c r="I13" i="16"/>
  <c r="I15" i="16" s="1"/>
  <c r="T125" i="10"/>
  <c r="H33" i="2"/>
  <c r="I31" i="2"/>
  <c r="T127" i="10" l="1"/>
  <c r="T126" i="10"/>
  <c r="U123" i="10"/>
  <c r="I33" i="2"/>
  <c r="H37" i="2"/>
  <c r="E17" i="10" l="1"/>
  <c r="I37" i="2"/>
  <c r="T128" i="10"/>
  <c r="I28" i="16"/>
  <c r="I34" i="16" s="1"/>
  <c r="I36" i="16" s="1"/>
  <c r="I40" i="16" s="1"/>
  <c r="U124" i="10" s="1"/>
  <c r="E18" i="10" l="1"/>
  <c r="E19" i="10" s="1"/>
  <c r="B5" i="15" s="1"/>
  <c r="J38" i="16"/>
  <c r="J13" i="16"/>
  <c r="J15" i="16" s="1"/>
  <c r="U125" i="10"/>
  <c r="U127" i="10" s="1"/>
  <c r="U126" i="10" l="1"/>
  <c r="U128" i="10" s="1"/>
  <c r="V123" i="10"/>
  <c r="K28" i="18" l="1"/>
  <c r="K12" i="15"/>
  <c r="G13" i="13"/>
  <c r="H14" i="3"/>
  <c r="D42" i="16"/>
  <c r="B39" i="2"/>
  <c r="G13" i="33"/>
  <c r="I30" i="44"/>
  <c r="I28" i="42"/>
  <c r="E85" i="10"/>
  <c r="K27" i="34"/>
  <c r="B40" i="30"/>
  <c r="B38" i="37"/>
  <c r="B35" i="41"/>
  <c r="B39" i="25"/>
  <c r="B32" i="40"/>
  <c r="G16" i="32"/>
  <c r="B40" i="39"/>
  <c r="J28" i="16"/>
  <c r="J34" i="16" s="1"/>
  <c r="J36" i="16" s="1"/>
  <c r="J40" i="16" s="1"/>
  <c r="V124" i="10" s="1"/>
  <c r="K38" i="16" l="1"/>
  <c r="K13" i="16" l="1"/>
  <c r="K15" i="16" s="1"/>
  <c r="V125" i="10"/>
  <c r="V127" i="10" s="1"/>
  <c r="V126" i="10" l="1"/>
  <c r="V128" i="10" s="1"/>
  <c r="W123" i="10"/>
  <c r="K28" i="16" l="1"/>
  <c r="K34" i="16" s="1"/>
  <c r="K36" i="16" s="1"/>
  <c r="K40" i="16" s="1"/>
  <c r="W124" i="10" s="1"/>
  <c r="W125" i="10" l="1"/>
  <c r="W127" i="10" s="1"/>
  <c r="L38" i="16"/>
  <c r="L13" i="16" l="1"/>
  <c r="L15" i="16" s="1"/>
  <c r="W126" i="10"/>
  <c r="W128" i="10" s="1"/>
  <c r="X123" i="10"/>
  <c r="L28" i="16" l="1"/>
  <c r="L34" i="16" s="1"/>
  <c r="L36" i="16" s="1"/>
  <c r="L40" i="16" s="1"/>
  <c r="X124" i="10" s="1"/>
  <c r="M13" i="16" l="1"/>
  <c r="M15" i="16" s="1"/>
  <c r="M38" i="16"/>
  <c r="X125" i="10" l="1"/>
  <c r="X127" i="10" s="1"/>
  <c r="X126" i="10" l="1"/>
  <c r="X128" i="10" s="1"/>
  <c r="Y123" i="10"/>
  <c r="M28" i="16" l="1"/>
  <c r="M34" i="16" s="1"/>
  <c r="M36" i="16" s="1"/>
  <c r="M40" i="16" s="1"/>
  <c r="Y124" i="10" l="1"/>
  <c r="Y125" i="10" s="1"/>
  <c r="N38" i="16"/>
  <c r="N13" i="16" l="1"/>
  <c r="Z123" i="10"/>
  <c r="Y126" i="10"/>
  <c r="Y127" i="10"/>
  <c r="Y130" i="10" s="1"/>
  <c r="D34" i="3" s="1"/>
  <c r="N15" i="16" l="1"/>
  <c r="O15" i="16" s="1"/>
  <c r="O13" i="16"/>
  <c r="C44" i="16" s="1"/>
  <c r="F36" i="3"/>
  <c r="K64" i="10" s="1"/>
  <c r="Y136" i="10"/>
  <c r="N28" i="16"/>
  <c r="Y128" i="10"/>
  <c r="Y132" i="10" s="1"/>
  <c r="N34" i="16" l="1"/>
  <c r="O28" i="16"/>
  <c r="Y134" i="10"/>
  <c r="C37" i="13"/>
  <c r="E38" i="13" s="1"/>
  <c r="F38" i="3"/>
  <c r="F39" i="3" s="1"/>
  <c r="C46" i="13" l="1"/>
  <c r="C46" i="33"/>
  <c r="C47" i="13"/>
  <c r="C47" i="33"/>
  <c r="O34" i="16"/>
  <c r="N36" i="16"/>
  <c r="E48" i="13" l="1"/>
  <c r="O36" i="16"/>
  <c r="N40" i="16"/>
  <c r="Z124" i="10" s="1"/>
  <c r="O40" i="16" l="1"/>
  <c r="B27" i="13" s="1"/>
  <c r="C12" i="39" l="1"/>
  <c r="C14" i="39" s="1"/>
  <c r="C12" i="30"/>
  <c r="C14" i="30" s="1"/>
  <c r="C11" i="25"/>
  <c r="C13" i="25" s="1"/>
  <c r="Z125" i="10"/>
  <c r="C36" i="39"/>
  <c r="O36" i="39" s="1"/>
  <c r="C27" i="13"/>
  <c r="E34" i="13" s="1"/>
  <c r="E39" i="13" s="1"/>
  <c r="C35" i="25"/>
  <c r="C36" i="30"/>
  <c r="B8" i="13"/>
  <c r="C8" i="13"/>
  <c r="Z127" i="10" l="1"/>
  <c r="Z126" i="10"/>
  <c r="AA123" i="10"/>
  <c r="E11" i="13"/>
  <c r="I36" i="30"/>
  <c r="I35" i="25"/>
  <c r="Z128" i="10" l="1"/>
  <c r="C25" i="25"/>
  <c r="C31" i="25" s="1"/>
  <c r="C33" i="25" s="1"/>
  <c r="C37" i="25" s="1"/>
  <c r="D35" i="25" s="1"/>
  <c r="C26" i="30"/>
  <c r="C26" i="39"/>
  <c r="C32" i="39" s="1"/>
  <c r="C34" i="39" s="1"/>
  <c r="C38" i="39" s="1"/>
  <c r="AA124" i="10" s="1"/>
  <c r="E23" i="13"/>
  <c r="C32" i="30" l="1"/>
  <c r="C34" i="30" s="1"/>
  <c r="C38" i="30" s="1"/>
  <c r="D36" i="30" s="1"/>
  <c r="AA125" i="10"/>
  <c r="AA127" i="10" s="1"/>
  <c r="D12" i="30"/>
  <c r="D11" i="25"/>
  <c r="D13" i="25" s="1"/>
  <c r="D36" i="39"/>
  <c r="E41" i="13"/>
  <c r="D12" i="39"/>
  <c r="D14" i="39" s="1"/>
  <c r="AA126" i="10" l="1"/>
  <c r="AA128" i="10" s="1"/>
  <c r="D14" i="30"/>
  <c r="AB123" i="10"/>
  <c r="D26" i="30" l="1"/>
  <c r="D32" i="30" s="1"/>
  <c r="D34" i="30" s="1"/>
  <c r="D38" i="30" s="1"/>
  <c r="E36" i="30" s="1"/>
  <c r="D26" i="39"/>
  <c r="D32" i="39" s="1"/>
  <c r="D34" i="39" s="1"/>
  <c r="D38" i="39" s="1"/>
  <c r="AB124" i="10" s="1"/>
  <c r="D25" i="25"/>
  <c r="D31" i="25" s="1"/>
  <c r="D33" i="25" s="1"/>
  <c r="D37" i="25" s="1"/>
  <c r="E35" i="25" s="1"/>
  <c r="AB125" i="10" l="1"/>
  <c r="AB127" i="10" s="1"/>
  <c r="E36" i="39"/>
  <c r="E12" i="30" l="1"/>
  <c r="E14" i="30" s="1"/>
  <c r="E11" i="25"/>
  <c r="E13" i="25" s="1"/>
  <c r="AB126" i="10"/>
  <c r="AB128" i="10" s="1"/>
  <c r="AC123" i="10"/>
  <c r="E12" i="39"/>
  <c r="E14" i="39" s="1"/>
  <c r="E25" i="25" l="1"/>
  <c r="E31" i="25" s="1"/>
  <c r="E33" i="25" s="1"/>
  <c r="E26" i="30"/>
  <c r="E26" i="39"/>
  <c r="E32" i="39" s="1"/>
  <c r="E32" i="30" l="1"/>
  <c r="E34" i="30" s="1"/>
  <c r="E38" i="30" s="1"/>
  <c r="F36" i="30" s="1"/>
  <c r="E37" i="25"/>
  <c r="F35" i="25" s="1"/>
  <c r="E34" i="39"/>
  <c r="E38" i="39" l="1"/>
  <c r="F36" i="39" l="1"/>
  <c r="AC124" i="10"/>
  <c r="F12" i="30" s="1"/>
  <c r="F14" i="30" l="1"/>
  <c r="AC125" i="10"/>
  <c r="AC126" i="10" s="1"/>
  <c r="F11" i="25"/>
  <c r="F12" i="39"/>
  <c r="F14" i="39" s="1"/>
  <c r="F25" i="25" l="1"/>
  <c r="F31" i="25" s="1"/>
  <c r="F26" i="30"/>
  <c r="F26" i="39"/>
  <c r="F32" i="39" s="1"/>
  <c r="F34" i="39" s="1"/>
  <c r="F38" i="39" s="1"/>
  <c r="AD124" i="10" s="1"/>
  <c r="AC127" i="10"/>
  <c r="AC128" i="10" s="1"/>
  <c r="AD123" i="10"/>
  <c r="F13" i="25"/>
  <c r="F32" i="30" l="1"/>
  <c r="F34" i="30" s="1"/>
  <c r="F38" i="30" s="1"/>
  <c r="G36" i="30" s="1"/>
  <c r="F33" i="25"/>
  <c r="G36" i="39"/>
  <c r="G12" i="30"/>
  <c r="G14" i="30" l="1"/>
  <c r="AD125" i="10"/>
  <c r="AD127" i="10" s="1"/>
  <c r="G11" i="25"/>
  <c r="F37" i="25"/>
  <c r="G35" i="25" s="1"/>
  <c r="G12" i="39"/>
  <c r="G14" i="39" s="1"/>
  <c r="AE123" i="10" l="1"/>
  <c r="AD126" i="10"/>
  <c r="AD128" i="10" s="1"/>
  <c r="G13" i="25"/>
  <c r="G25" i="25" l="1"/>
  <c r="G31" i="25" s="1"/>
  <c r="G33" i="25" s="1"/>
  <c r="G26" i="30"/>
  <c r="G26" i="39"/>
  <c r="G32" i="39" s="1"/>
  <c r="G34" i="39" s="1"/>
  <c r="G38" i="39" s="1"/>
  <c r="AE124" i="10" s="1"/>
  <c r="G32" i="30" l="1"/>
  <c r="G34" i="30" s="1"/>
  <c r="G38" i="30" s="1"/>
  <c r="H36" i="30" s="1"/>
  <c r="G37" i="25"/>
  <c r="H35" i="25" s="1"/>
  <c r="H36" i="39"/>
  <c r="H12" i="30"/>
  <c r="H14" i="30" l="1"/>
  <c r="I12" i="30"/>
  <c r="AE125" i="10"/>
  <c r="AF123" i="10" s="1"/>
  <c r="H11" i="25"/>
  <c r="H12" i="39"/>
  <c r="H14" i="39" s="1"/>
  <c r="I14" i="30" l="1"/>
  <c r="AE127" i="10"/>
  <c r="AE126" i="10"/>
  <c r="H13" i="25"/>
  <c r="I13" i="25" s="1"/>
  <c r="I11" i="25"/>
  <c r="AE128" i="10" l="1"/>
  <c r="H25" i="25"/>
  <c r="H31" i="25" s="1"/>
  <c r="I31" i="25" s="1"/>
  <c r="H26" i="30"/>
  <c r="H26" i="39"/>
  <c r="H32" i="39" s="1"/>
  <c r="H34" i="39" s="1"/>
  <c r="H33" i="25" l="1"/>
  <c r="I33" i="25" s="1"/>
  <c r="I25" i="25"/>
  <c r="H32" i="30"/>
  <c r="I26" i="30"/>
  <c r="H38" i="39"/>
  <c r="I36" i="39" l="1"/>
  <c r="AF124" i="10"/>
  <c r="AF125" i="10" s="1"/>
  <c r="H37" i="25"/>
  <c r="I37" i="25" s="1"/>
  <c r="I32" i="30"/>
  <c r="H34" i="30"/>
  <c r="H38" i="30" l="1"/>
  <c r="I38" i="30" s="1"/>
  <c r="I34" i="30"/>
  <c r="I12" i="39"/>
  <c r="I14" i="39" s="1"/>
  <c r="AG123" i="10"/>
  <c r="AF126" i="10"/>
  <c r="AF127" i="10"/>
  <c r="AF128" i="10" l="1"/>
  <c r="I26" i="39"/>
  <c r="I32" i="39" l="1"/>
  <c r="I34" i="39" s="1"/>
  <c r="I38" i="39" s="1"/>
  <c r="J36" i="39" l="1"/>
  <c r="AG124" i="10"/>
  <c r="AG125" i="10" s="1"/>
  <c r="J12" i="39" l="1"/>
  <c r="J14" i="39" s="1"/>
  <c r="AH123" i="10"/>
  <c r="AG126" i="10"/>
  <c r="AG127" i="10"/>
  <c r="AG128" i="10" l="1"/>
  <c r="J26" i="39"/>
  <c r="J32" i="39" l="1"/>
  <c r="J34" i="39" s="1"/>
  <c r="J38" i="39" s="1"/>
  <c r="K36" i="39" l="1"/>
  <c r="AH124" i="10"/>
  <c r="AH125" i="10" s="1"/>
  <c r="K12" i="39" l="1"/>
  <c r="K14" i="39" s="1"/>
  <c r="AI123" i="10"/>
  <c r="AH126" i="10"/>
  <c r="AH127" i="10"/>
  <c r="AH128" i="10" l="1"/>
  <c r="K26" i="39"/>
  <c r="K32" i="39" l="1"/>
  <c r="K34" i="39" s="1"/>
  <c r="K38" i="39" s="1"/>
  <c r="AI124" i="10" s="1"/>
  <c r="AI125" i="10" l="1"/>
  <c r="L36" i="39"/>
  <c r="AJ123" i="10" l="1"/>
  <c r="AI127" i="10"/>
  <c r="AI126" i="10"/>
  <c r="L12" i="39"/>
  <c r="L14" i="39" s="1"/>
  <c r="AI128" i="10" l="1"/>
  <c r="L26" i="39"/>
  <c r="L32" i="39" s="1"/>
  <c r="L34" i="39" s="1"/>
  <c r="L38" i="39" s="1"/>
  <c r="AJ124" i="10" s="1"/>
  <c r="AJ125" i="10" l="1"/>
  <c r="M36" i="39"/>
  <c r="AJ127" i="10" l="1"/>
  <c r="AK123" i="10"/>
  <c r="AJ126" i="10"/>
  <c r="M12" i="39"/>
  <c r="M14" i="39" s="1"/>
  <c r="AJ128" i="10" l="1"/>
  <c r="M26" i="39"/>
  <c r="M32" i="39" l="1"/>
  <c r="M34" i="39" s="1"/>
  <c r="M38" i="39" s="1"/>
  <c r="AK124" i="10" s="1"/>
  <c r="AK125" i="10" l="1"/>
  <c r="N36" i="39"/>
  <c r="AK127" i="10" l="1"/>
  <c r="AK126" i="10"/>
  <c r="N12" i="39"/>
  <c r="N14" i="39" s="1"/>
  <c r="AK136" i="10" l="1"/>
  <c r="AK128" i="10"/>
  <c r="AK130" i="10"/>
  <c r="C37" i="32" s="1"/>
  <c r="AL123" i="10"/>
  <c r="O12" i="39"/>
  <c r="C42" i="39" s="1"/>
  <c r="AK132" i="10" l="1"/>
  <c r="C37" i="33" s="1"/>
  <c r="E38" i="33" s="1"/>
  <c r="AK134" i="10"/>
  <c r="E39" i="32"/>
  <c r="O14" i="39"/>
  <c r="N26" i="39"/>
  <c r="N32" i="39" s="1"/>
  <c r="F129" i="10" l="1"/>
  <c r="K65" i="10"/>
  <c r="K66" i="10" s="1"/>
  <c r="K68" i="10" s="1"/>
  <c r="I67" i="10" s="1"/>
  <c r="J34" i="10" s="1"/>
  <c r="E41" i="32"/>
  <c r="O26" i="39"/>
  <c r="E42" i="32" l="1"/>
  <c r="C48" i="33" s="1"/>
  <c r="C49" i="33"/>
  <c r="O32" i="39"/>
  <c r="N34" i="39"/>
  <c r="N38" i="39" s="1"/>
  <c r="AL124" i="10" s="1"/>
  <c r="E50" i="33" l="1"/>
  <c r="O34" i="39"/>
  <c r="F132" i="10" l="1"/>
  <c r="AL125" i="10"/>
  <c r="O38" i="39"/>
  <c r="B8" i="33" l="1"/>
  <c r="B27" i="33"/>
  <c r="C8" i="33"/>
  <c r="C27" i="33"/>
  <c r="E34" i="33" s="1"/>
  <c r="E39" i="33" s="1"/>
  <c r="E11" i="33" l="1"/>
  <c r="E23" i="33" l="1"/>
  <c r="F131" i="10" l="1"/>
  <c r="E144" i="10" s="1"/>
  <c r="I68" i="10" s="1"/>
  <c r="I69" i="10" s="1"/>
  <c r="E41" i="33"/>
  <c r="I71" i="10" l="1"/>
  <c r="J36" i="10"/>
  <c r="J69" i="10"/>
  <c r="J35" i="10"/>
  <c r="J71" i="10" l="1"/>
  <c r="I70" i="10"/>
  <c r="J70" i="10" s="1"/>
  <c r="J81" i="10" l="1"/>
  <c r="F15" i="8" s="1"/>
</calcChain>
</file>

<file path=xl/sharedStrings.xml><?xml version="1.0" encoding="utf-8"?>
<sst xmlns="http://schemas.openxmlformats.org/spreadsheetml/2006/main" count="1872" uniqueCount="763">
  <si>
    <t>Monthly cash budget</t>
  </si>
  <si>
    <t>January</t>
  </si>
  <si>
    <t>February</t>
  </si>
  <si>
    <t>March</t>
  </si>
  <si>
    <t>April</t>
  </si>
  <si>
    <t>May</t>
  </si>
  <si>
    <t>June</t>
  </si>
  <si>
    <t>July</t>
  </si>
  <si>
    <t>August</t>
  </si>
  <si>
    <t>September</t>
  </si>
  <si>
    <t>October</t>
  </si>
  <si>
    <t>November</t>
  </si>
  <si>
    <t>December</t>
  </si>
  <si>
    <t>Cash Receipts</t>
  </si>
  <si>
    <t>Borrowing</t>
  </si>
  <si>
    <t>Total Cash Receipts</t>
  </si>
  <si>
    <t>Cash Payments</t>
  </si>
  <si>
    <t>Rent Expense</t>
  </si>
  <si>
    <t>Utilities Expense</t>
  </si>
  <si>
    <t>Insurance Expense</t>
  </si>
  <si>
    <t>Salaries Expense: Shop manager (fixed cost)</t>
  </si>
  <si>
    <t>Wages Expense:</t>
  </si>
  <si>
    <t>Loan Repayment (Interest and Principle)</t>
  </si>
  <si>
    <t>Total Cash Payments</t>
  </si>
  <si>
    <t>Deficit / Surplus</t>
  </si>
  <si>
    <t>Opening Balance</t>
  </si>
  <si>
    <t>Closing Balance</t>
  </si>
  <si>
    <t>Total</t>
  </si>
  <si>
    <t>Marketing Expense</t>
  </si>
  <si>
    <t>Income Statement</t>
  </si>
  <si>
    <t>Revenue</t>
  </si>
  <si>
    <t>Gross Profit</t>
  </si>
  <si>
    <t>Less: Expenses</t>
  </si>
  <si>
    <t>Salaries Expense</t>
  </si>
  <si>
    <t>Wages Expense</t>
  </si>
  <si>
    <t>Interest Expense</t>
  </si>
  <si>
    <t>Total Expenses</t>
  </si>
  <si>
    <t>Net Profit</t>
  </si>
  <si>
    <t>$</t>
  </si>
  <si>
    <t>Balance Sheet</t>
  </si>
  <si>
    <t>Assets</t>
  </si>
  <si>
    <t>Current Assets</t>
  </si>
  <si>
    <t>Total Current Assets</t>
  </si>
  <si>
    <t>Non-Current Assets</t>
  </si>
  <si>
    <t>Total Non-Current Assets</t>
  </si>
  <si>
    <t>Total Assets</t>
  </si>
  <si>
    <t>Liabilities</t>
  </si>
  <si>
    <t>Total Current Liabilities</t>
  </si>
  <si>
    <t>Total Non-Current Liabilities</t>
  </si>
  <si>
    <t>Current Liabilities</t>
  </si>
  <si>
    <t>Non-Current Liabilities</t>
  </si>
  <si>
    <t>Total Liabilities</t>
  </si>
  <si>
    <t>Net Assets</t>
  </si>
  <si>
    <t>Equity</t>
  </si>
  <si>
    <t>Total Equity</t>
  </si>
  <si>
    <t>Inventories</t>
  </si>
  <si>
    <t>Less: Accumulated Depreciation</t>
  </si>
  <si>
    <t>Loan Payable</t>
  </si>
  <si>
    <t>Part 2</t>
  </si>
  <si>
    <t>Liquidity Ratios</t>
  </si>
  <si>
    <t>Current Ratio</t>
  </si>
  <si>
    <t>Acid Test Ratio</t>
  </si>
  <si>
    <t>Part 3</t>
  </si>
  <si>
    <t>Burgers</t>
  </si>
  <si>
    <t>Kebabs</t>
  </si>
  <si>
    <t>Sole Trader</t>
  </si>
  <si>
    <t>Base Sales</t>
  </si>
  <si>
    <t>Cost</t>
  </si>
  <si>
    <t>Lifespan</t>
  </si>
  <si>
    <t>Garlic Bread</t>
  </si>
  <si>
    <t>Kitchens R Us</t>
  </si>
  <si>
    <t>First Name:</t>
  </si>
  <si>
    <t>Last Name:</t>
  </si>
  <si>
    <t>Student ID:</t>
  </si>
  <si>
    <t>1st Products</t>
  </si>
  <si>
    <t>What type of business will you operate?</t>
  </si>
  <si>
    <t>Business Type</t>
  </si>
  <si>
    <t>Franchise</t>
  </si>
  <si>
    <t>Where will this business be located?</t>
  </si>
  <si>
    <t>Price</t>
  </si>
  <si>
    <t>Business Location</t>
  </si>
  <si>
    <t>Existing</t>
  </si>
  <si>
    <t>CBD</t>
  </si>
  <si>
    <t>Foodcourt</t>
  </si>
  <si>
    <t>Suburb</t>
  </si>
  <si>
    <t>Marketing Sales Multiplier</t>
  </si>
  <si>
    <t>Wages</t>
  </si>
  <si>
    <t>Food Quality</t>
  </si>
  <si>
    <t>Wages Sales Multiplier</t>
  </si>
  <si>
    <t>Marketing</t>
  </si>
  <si>
    <t>Setup</t>
  </si>
  <si>
    <t>Monthly Sales Increase Multiplier</t>
  </si>
  <si>
    <t>Franchise Fee</t>
  </si>
  <si>
    <t>Monthly Rent</t>
  </si>
  <si>
    <t>Location Sales Multiplier</t>
  </si>
  <si>
    <t>Monthly Sales Increase Indicies</t>
  </si>
  <si>
    <t>Grills</t>
  </si>
  <si>
    <t>Hotplates</t>
  </si>
  <si>
    <t>Pizzas</t>
  </si>
  <si>
    <t>Pizza Ovens</t>
  </si>
  <si>
    <t>Monthly Running Costs</t>
  </si>
  <si>
    <t>Purchase Cost</t>
  </si>
  <si>
    <t>Startup Costs</t>
  </si>
  <si>
    <t>Jan</t>
  </si>
  <si>
    <t>Feb</t>
  </si>
  <si>
    <t>Mar</t>
  </si>
  <si>
    <t>Monthly Sales Variations</t>
  </si>
  <si>
    <t>Apr</t>
  </si>
  <si>
    <t>Jun</t>
  </si>
  <si>
    <t>Jul</t>
  </si>
  <si>
    <t>Aug</t>
  </si>
  <si>
    <t>Sep</t>
  </si>
  <si>
    <t>Oct</t>
  </si>
  <si>
    <t>Nov</t>
  </si>
  <si>
    <t>Dec</t>
  </si>
  <si>
    <t>Chosen</t>
  </si>
  <si>
    <t>Initial Sales</t>
  </si>
  <si>
    <t>Chosen Sales</t>
  </si>
  <si>
    <t>Chosen Setup</t>
  </si>
  <si>
    <t>Chosen Increase Indicies</t>
  </si>
  <si>
    <t>Chosen Franchise Fee</t>
  </si>
  <si>
    <t>Initial Sales Multipliers</t>
  </si>
  <si>
    <t>Sales Increase Indicies</t>
  </si>
  <si>
    <t>Sales before Variation</t>
  </si>
  <si>
    <t>Pricing Sales Multiplier &amp; Indicies</t>
  </si>
  <si>
    <t>Chosen Rent</t>
  </si>
  <si>
    <t>Chosen Multplier</t>
  </si>
  <si>
    <t>Chosen Indicies</t>
  </si>
  <si>
    <t>Number of Employees</t>
  </si>
  <si>
    <t>Monthly Sales Increase</t>
  </si>
  <si>
    <t>Sales Including Variation</t>
  </si>
  <si>
    <t>Employee Cost</t>
  </si>
  <si>
    <t>Food Costs</t>
  </si>
  <si>
    <t>Utilities Required</t>
  </si>
  <si>
    <t>Utilities</t>
  </si>
  <si>
    <t>Aussie</t>
  </si>
  <si>
    <t>Industrial</t>
  </si>
  <si>
    <t>Kommercial</t>
  </si>
  <si>
    <t>Production</t>
  </si>
  <si>
    <t>Running</t>
  </si>
  <si>
    <t>Chosen Cost</t>
  </si>
  <si>
    <t>Chosen Lifespan</t>
  </si>
  <si>
    <t>Chosen Production</t>
  </si>
  <si>
    <t>Chosen Running</t>
  </si>
  <si>
    <t>Initial Utilities Required</t>
  </si>
  <si>
    <t>Utilities Available</t>
  </si>
  <si>
    <t>Change in Utilities</t>
  </si>
  <si>
    <t>Utilities Running Cost</t>
  </si>
  <si>
    <t>Franchising Cost</t>
  </si>
  <si>
    <t>Cheap Price Sales Multiplier</t>
  </si>
  <si>
    <t xml:space="preserve">Setup Cost </t>
  </si>
  <si>
    <t>Personal Savings</t>
  </si>
  <si>
    <t>Personal Finances</t>
  </si>
  <si>
    <t>Bank Loan</t>
  </si>
  <si>
    <t>Investors</t>
  </si>
  <si>
    <t>Profit Share</t>
  </si>
  <si>
    <t>Amount still needed</t>
  </si>
  <si>
    <t>Repayments</t>
  </si>
  <si>
    <t>Loan Term</t>
  </si>
  <si>
    <t>Loan Interest</t>
  </si>
  <si>
    <t>Annuity Table figure</t>
  </si>
  <si>
    <t>Repayment</t>
  </si>
  <si>
    <t xml:space="preserve">Profits will be shared in proportion with your and their investment </t>
  </si>
  <si>
    <t>Private Investment</t>
  </si>
  <si>
    <t>Remaining Loan at end of year</t>
  </si>
  <si>
    <t>Yearly Interest</t>
  </si>
  <si>
    <t>Year repayment</t>
  </si>
  <si>
    <t>Startup Expenses</t>
  </si>
  <si>
    <t>Franchising Expense</t>
  </si>
  <si>
    <t>Amount of loan repaid</t>
  </si>
  <si>
    <t>Investors share of profits</t>
  </si>
  <si>
    <t>Owners share of profits</t>
  </si>
  <si>
    <t>What is the primary product will you sell?</t>
  </si>
  <si>
    <t>Total Repayments</t>
  </si>
  <si>
    <t>Please select a side dish</t>
  </si>
  <si>
    <t>number per hour</t>
  </si>
  <si>
    <t>Number of months rent</t>
  </si>
  <si>
    <t xml:space="preserve">Almost a staple for some. Many orders may want to have a side of chips. </t>
  </si>
  <si>
    <t>Side Dish</t>
  </si>
  <si>
    <t>Cost per serve</t>
  </si>
  <si>
    <t>Cost per Utility</t>
  </si>
  <si>
    <t>Monthly production per unit</t>
  </si>
  <si>
    <t xml:space="preserve">A long time favourite. Should sell in moderate numbers. Has a good profit per unit. Requires investment in new conveyer ovens. </t>
  </si>
  <si>
    <t>Less popular and for the more health conscious. Has a shorter shelf life, resulting in a higher cost per unit to ensure freshness. However does not require investment in any new special items</t>
  </si>
  <si>
    <t>Choice</t>
  </si>
  <si>
    <t>Hot Chips</t>
  </si>
  <si>
    <t>Fresh Salad</t>
  </si>
  <si>
    <t>Chosen item</t>
  </si>
  <si>
    <t>Chosen Sales Proportion</t>
  </si>
  <si>
    <t>Chosen Cost per utility</t>
  </si>
  <si>
    <t>Chosen monthly production</t>
  </si>
  <si>
    <t>Price Bonus</t>
  </si>
  <si>
    <t>Sales proportion multiplier</t>
  </si>
  <si>
    <t>Final Sales proportion</t>
  </si>
  <si>
    <t>Sidedish sales</t>
  </si>
  <si>
    <t>Side Dish Revenue</t>
  </si>
  <si>
    <t>Side Dish Costs</t>
  </si>
  <si>
    <t>Side Dish Utilities Req</t>
  </si>
  <si>
    <t>SideDish Utilities available</t>
  </si>
  <si>
    <t>SideDish Change in Utilities</t>
  </si>
  <si>
    <t>SideDish New utilities Cost</t>
  </si>
  <si>
    <t>Employees required</t>
  </si>
  <si>
    <t>SidedishUtility Depreciation</t>
  </si>
  <si>
    <t>total depreciation</t>
  </si>
  <si>
    <t>*</t>
  </si>
  <si>
    <t>final is accounts payable</t>
  </si>
  <si>
    <t>Cash budget FoodCosts</t>
  </si>
  <si>
    <t>final is remaining inventory</t>
  </si>
  <si>
    <t>Less: Cost of Sales</t>
  </si>
  <si>
    <t>final number is COS</t>
  </si>
  <si>
    <t>final for inventory sales jan</t>
  </si>
  <si>
    <t>side dish actual COS</t>
  </si>
  <si>
    <t>Purchases</t>
  </si>
  <si>
    <t>Sub-Totals</t>
  </si>
  <si>
    <t>Opening Inventory</t>
  </si>
  <si>
    <t>Cost of Sales</t>
  </si>
  <si>
    <t>TOTALS</t>
  </si>
  <si>
    <t>End of Month Closing Inventory</t>
  </si>
  <si>
    <t>Debt Ratio</t>
  </si>
  <si>
    <t>Debt/Equity Ratio</t>
  </si>
  <si>
    <t>Financial Stability Ratios</t>
  </si>
  <si>
    <t>Equity Ratio</t>
  </si>
  <si>
    <t>Additional Information</t>
  </si>
  <si>
    <t>Cash Sales</t>
  </si>
  <si>
    <t>Credit Sales</t>
  </si>
  <si>
    <t>Cash Sales (Primary)</t>
  </si>
  <si>
    <t>Credit Sales (Primary)</t>
  </si>
  <si>
    <t>Cash Sales (Side)</t>
  </si>
  <si>
    <t>Credit Sales (Side)</t>
  </si>
  <si>
    <t>Accounts Receivable</t>
  </si>
  <si>
    <t>Combined Monthly Inventory Report</t>
  </si>
  <si>
    <t>Salaries Expense: Shop manager (Fixed cost)</t>
  </si>
  <si>
    <t>Age Group</t>
  </si>
  <si>
    <t>Age Group selections</t>
  </si>
  <si>
    <t>17-21</t>
  </si>
  <si>
    <t>22-26</t>
  </si>
  <si>
    <t>27-31</t>
  </si>
  <si>
    <t>Below 17</t>
  </si>
  <si>
    <t>Above 31</t>
  </si>
  <si>
    <t>Country</t>
  </si>
  <si>
    <t>Australia</t>
  </si>
  <si>
    <t>Malaysia</t>
  </si>
  <si>
    <t>Mauritius</t>
  </si>
  <si>
    <t>Singapore</t>
  </si>
  <si>
    <t>Other</t>
  </si>
  <si>
    <t>City</t>
  </si>
  <si>
    <t>United Arab Emirates</t>
  </si>
  <si>
    <t>Have you ever worked in the hospitality / food &amp; beverage industry?</t>
  </si>
  <si>
    <t>Age Choice</t>
  </si>
  <si>
    <t>Country Choice</t>
  </si>
  <si>
    <t>If YES:</t>
  </si>
  <si>
    <t>In what capacity?</t>
  </si>
  <si>
    <t>How many years experience?</t>
  </si>
  <si>
    <t>Years experience</t>
  </si>
  <si>
    <t>0 to 1 year</t>
  </si>
  <si>
    <t>1 to 3 years</t>
  </si>
  <si>
    <t>4 to 6 years</t>
  </si>
  <si>
    <t>6 years and above</t>
  </si>
  <si>
    <t>Experience Choice</t>
  </si>
  <si>
    <t>Please now decide on further Capital Investments you would like to make. Each is optional</t>
  </si>
  <si>
    <t>Food Display Cabinets</t>
  </si>
  <si>
    <t>Walking Fridge</t>
  </si>
  <si>
    <t>Initial Cost</t>
  </si>
  <si>
    <t>Monthly Running Cost</t>
  </si>
  <si>
    <t>Food Cost reduction</t>
  </si>
  <si>
    <t>Food Cost</t>
  </si>
  <si>
    <t>adjusted food cost</t>
  </si>
  <si>
    <t>Depreciation</t>
  </si>
  <si>
    <t>No Changes</t>
  </si>
  <si>
    <t>S</t>
  </si>
  <si>
    <t>M</t>
  </si>
  <si>
    <t>L</t>
  </si>
  <si>
    <t>One per</t>
  </si>
  <si>
    <t>Cost per cabinet</t>
  </si>
  <si>
    <t>Sale increase</t>
  </si>
  <si>
    <t>Food Purchases</t>
  </si>
  <si>
    <t>Sale Increase Indicies</t>
  </si>
  <si>
    <t>percentage increase</t>
  </si>
  <si>
    <t>Cabinets Required</t>
  </si>
  <si>
    <t>Cabinets Available</t>
  </si>
  <si>
    <t>Change in Cabinets</t>
  </si>
  <si>
    <t>Cabinet Cost</t>
  </si>
  <si>
    <t>Vehicle Cost</t>
  </si>
  <si>
    <t>Delivery</t>
  </si>
  <si>
    <t>none</t>
  </si>
  <si>
    <t>Vehicle</t>
  </si>
  <si>
    <t>Private</t>
  </si>
  <si>
    <t>UberEats</t>
  </si>
  <si>
    <t>Lower Sales and Sales growth as some potential customers want deliveries</t>
  </si>
  <si>
    <t>Delivery percentage</t>
  </si>
  <si>
    <t>Sales Indicies</t>
  </si>
  <si>
    <t>Delivery Services</t>
  </si>
  <si>
    <t>Cash Budget Title</t>
  </si>
  <si>
    <t>Delivery Vehicle Purchase</t>
  </si>
  <si>
    <t>Delivery Driver Expenses</t>
  </si>
  <si>
    <t>Delivery App Usage Expenses</t>
  </si>
  <si>
    <t>Total Deliveries</t>
  </si>
  <si>
    <t>Delivery Sales Vol Primary</t>
  </si>
  <si>
    <t>Delivery Sales Vol Side</t>
  </si>
  <si>
    <t>Vehicles Required</t>
  </si>
  <si>
    <t>Vehicles Available</t>
  </si>
  <si>
    <t>Change in Vehicles</t>
  </si>
  <si>
    <t>Vehicles Cost</t>
  </si>
  <si>
    <t>UberEats Fees</t>
  </si>
  <si>
    <t>Primary Sales Revenue</t>
  </si>
  <si>
    <t>Total Sales</t>
  </si>
  <si>
    <t>App Fee</t>
  </si>
  <si>
    <t>Number for Deliveries</t>
  </si>
  <si>
    <t>Vehicle Depreciation</t>
  </si>
  <si>
    <t>Source: https://glamox.com/gsx/solutions/industry-cold-storage-and-freezing-rooms</t>
  </si>
  <si>
    <t>Unless otherwise stated, images were taken from https://www.freepik.com/</t>
  </si>
  <si>
    <t>Source: https://www.foodnetwork.com/recipes/food-network-kitchen/the-best-garlic-bread-7194218</t>
  </si>
  <si>
    <t>Walk-in Cold Storage/Freezer</t>
  </si>
  <si>
    <t>Returns</t>
  </si>
  <si>
    <t>Returns and Refunds</t>
  </si>
  <si>
    <t>Gross Sales Revenue</t>
  </si>
  <si>
    <t>Less: Returns and Refunds</t>
  </si>
  <si>
    <t xml:space="preserve">Net Sales </t>
  </si>
  <si>
    <t>Average Combined Inventory</t>
  </si>
  <si>
    <t>2020 From here</t>
  </si>
  <si>
    <t>new accounts payable</t>
  </si>
  <si>
    <t>NO COVID19</t>
  </si>
  <si>
    <t>last is depreciation from last years items</t>
  </si>
  <si>
    <t>last is part of ACC REC</t>
  </si>
  <si>
    <t>For the 6 months ended 30th June 2020</t>
  </si>
  <si>
    <t>For the 6 months ended 30th June 2019</t>
  </si>
  <si>
    <t>lowest 6mths</t>
  </si>
  <si>
    <t>amount req</t>
  </si>
  <si>
    <t>Retained Earnings - Owner</t>
  </si>
  <si>
    <t>Retained Earnings - Investors</t>
  </si>
  <si>
    <t>Capital - Owner</t>
  </si>
  <si>
    <t>Capital - Investors</t>
  </si>
  <si>
    <t>Source: https://www.health.gov.au/news/launch-of-the-coronavirus-covid-19-campaign</t>
  </si>
  <si>
    <t>Now you need to consider how many employees you want to continue to operate with</t>
  </si>
  <si>
    <t>You will need to continue to pay rent, insurance &amp; interest expenses</t>
  </si>
  <si>
    <t>There will be no sales or food purchases</t>
  </si>
  <si>
    <t>Marketing costs will be suspended</t>
  </si>
  <si>
    <t xml:space="preserve">$1.50 increase in food costs for 'Delivery Sales' to reimburse drivers
</t>
  </si>
  <si>
    <t>Takeaway Sales will be 10% of Pre-COVID in house sales</t>
  </si>
  <si>
    <t>Utilities expenses will be at Pre-COVID levels (Even if no deliveries have been chosen)</t>
  </si>
  <si>
    <t>You will need to continue to pay rent, insurance, interest &amp; marketing expenses</t>
  </si>
  <si>
    <t>No changes compared to "Deliveries" decision</t>
  </si>
  <si>
    <t>No changes to activities</t>
  </si>
  <si>
    <t>Combo Selling Price</t>
  </si>
  <si>
    <t>Combo food costs</t>
  </si>
  <si>
    <t>COVID-19 BELOW THIS</t>
  </si>
  <si>
    <t>Delivery Reimburse</t>
  </si>
  <si>
    <t>Marketing Cost</t>
  </si>
  <si>
    <t>Utilities (Delivery)</t>
  </si>
  <si>
    <t>TakeAway</t>
  </si>
  <si>
    <t>Yes</t>
  </si>
  <si>
    <t>No</t>
  </si>
  <si>
    <t>Combo</t>
  </si>
  <si>
    <t>choice</t>
  </si>
  <si>
    <t xml:space="preserve">Delivery costs will be covered by a delivery fee. </t>
  </si>
  <si>
    <t>(If you had vehicles earlier they will be taken into account)</t>
  </si>
  <si>
    <t>Food Price Change</t>
  </si>
  <si>
    <t>Take Away Sales Value</t>
  </si>
  <si>
    <t>Delivery Sales Value</t>
  </si>
  <si>
    <t>TakeAwaySalesValue</t>
  </si>
  <si>
    <t>Utilities Expense Discount Text</t>
  </si>
  <si>
    <t>base sales</t>
  </si>
  <si>
    <t>covid actual sales take away</t>
  </si>
  <si>
    <t>takeaway revenue</t>
  </si>
  <si>
    <t>Sales will be replaced with Combo Sales</t>
  </si>
  <si>
    <t>covid actual sales delivery</t>
  </si>
  <si>
    <t>delivery revenue</t>
  </si>
  <si>
    <t>Side Sales Proportion</t>
  </si>
  <si>
    <t>Side Dish Price</t>
  </si>
  <si>
    <t>TOTAL Depreciation expense</t>
  </si>
  <si>
    <t>FIXED @D68</t>
  </si>
  <si>
    <t>last is remaining inventory</t>
  </si>
  <si>
    <t>COVID Delivery Vehicle Purchase</t>
  </si>
  <si>
    <t>COVID Delivery Driver Expenses</t>
  </si>
  <si>
    <t>COVID Delivery App Usage Expenses</t>
  </si>
  <si>
    <t>vehicle depreciation</t>
  </si>
  <si>
    <t>primary sales employees</t>
  </si>
  <si>
    <t>total required employees</t>
  </si>
  <si>
    <t>max required employees</t>
  </si>
  <si>
    <t>chosen number of employees</t>
  </si>
  <si>
    <t>Current number of employees</t>
  </si>
  <si>
    <t>Number of employees required for effective operations</t>
  </si>
  <si>
    <t>Business Efficiency</t>
  </si>
  <si>
    <t>monthly wages</t>
  </si>
  <si>
    <t>jobkeeper pay# employees</t>
  </si>
  <si>
    <t>JobKeeperEligibleEmployees</t>
  </si>
  <si>
    <t>Jobkeeper payment</t>
  </si>
  <si>
    <t>business efficiency</t>
  </si>
  <si>
    <t>wages expense</t>
  </si>
  <si>
    <t>lost jobs</t>
  </si>
  <si>
    <t>Source: https://www.ato.gov.au/general/jobkeeper-payment/</t>
  </si>
  <si>
    <t>You may hire more than required, however this will not increase business efficiency or give you any extra sales</t>
  </si>
  <si>
    <r>
      <t>If you hire</t>
    </r>
    <r>
      <rPr>
        <b/>
        <sz val="11"/>
        <color theme="1"/>
        <rFont val="Calibri"/>
        <family val="2"/>
        <scheme val="minor"/>
      </rPr>
      <t xml:space="preserve"> LESS</t>
    </r>
    <r>
      <rPr>
        <sz val="11"/>
        <color theme="1"/>
        <rFont val="Calibri"/>
        <family val="2"/>
        <scheme val="minor"/>
      </rPr>
      <t xml:space="preserve"> than the recommended number however, efficiency will decrease, resulting in lower sales</t>
    </r>
  </si>
  <si>
    <t>Please decide how many other employees you would like to keep.</t>
  </si>
  <si>
    <t>Other Revenue</t>
  </si>
  <si>
    <t>primary COS</t>
  </si>
  <si>
    <t>food costs</t>
  </si>
  <si>
    <t>equipment</t>
  </si>
  <si>
    <t>accu Depn</t>
  </si>
  <si>
    <t>total vehicle</t>
  </si>
  <si>
    <t>accu depn vehicle</t>
  </si>
  <si>
    <t>2020 depn below</t>
  </si>
  <si>
    <t>Retained Earnings 2019 - Owner</t>
  </si>
  <si>
    <t>Retained Earnings 2019 - Investors</t>
  </si>
  <si>
    <t>Retained Earnings 2020 - Owner</t>
  </si>
  <si>
    <t>Retained Earnings 2020 - Investors</t>
  </si>
  <si>
    <t>last is depn from last years items</t>
  </si>
  <si>
    <t>walkin fridge depn</t>
  </si>
  <si>
    <t>sides takeaway sales</t>
  </si>
  <si>
    <t>sides takeaway revenue</t>
  </si>
  <si>
    <t>sides delivery sales</t>
  </si>
  <si>
    <t>sides delivery revenue</t>
  </si>
  <si>
    <t>sides food cost</t>
  </si>
  <si>
    <t>side dish monthly COS</t>
  </si>
  <si>
    <t>employees requried</t>
  </si>
  <si>
    <t>Monthly Casual Worker Wages</t>
  </si>
  <si>
    <t>last year depn</t>
  </si>
  <si>
    <t>COPY OF PREVIOUS FOR OPTIMAL EMPLOYEE CALCULATIONS</t>
  </si>
  <si>
    <t>primary employees</t>
  </si>
  <si>
    <t>primary sales calc</t>
  </si>
  <si>
    <t>delivery employees required</t>
  </si>
  <si>
    <t>delivery total orders</t>
  </si>
  <si>
    <t>franchise fixed price</t>
  </si>
  <si>
    <t>franchise fixed quality</t>
  </si>
  <si>
    <t>Combo Bonus</t>
  </si>
  <si>
    <t>2020 COVID Ratio Analysis</t>
  </si>
  <si>
    <t>2019 Full Year Ratio Analysis</t>
  </si>
  <si>
    <t>Profitability Ratios</t>
  </si>
  <si>
    <t>Source: https://www.usatoday.com/story/money/2020/04/08/coronavirus-wage-subsidy-stimulus-checks-loans-unemployment/2966589001/</t>
  </si>
  <si>
    <t>Source: https://www.gov.uk/government/news/coronavirus-job-retention-scheme-up-and-running</t>
  </si>
  <si>
    <t>Monthly Wage Subsidy payments</t>
  </si>
  <si>
    <t>Number eligible for Government Wage Subsidy</t>
  </si>
  <si>
    <t>Government Wage Subsidy</t>
  </si>
  <si>
    <t>PIE CHART DATA HERE</t>
  </si>
  <si>
    <t>Product Details</t>
  </si>
  <si>
    <t>Variable Costs</t>
  </si>
  <si>
    <t>Contribution Margin</t>
  </si>
  <si>
    <t>Financing</t>
  </si>
  <si>
    <t>Investor Capital</t>
  </si>
  <si>
    <t>Personal Capital</t>
  </si>
  <si>
    <t>Still required</t>
  </si>
  <si>
    <t>Owner Investment</t>
  </si>
  <si>
    <t>Student Details</t>
  </si>
  <si>
    <t>Work Yes No</t>
  </si>
  <si>
    <t>Please enter your business name:</t>
  </si>
  <si>
    <t>As part of your Business Simulation and report assessment, you will be required to play this simulation game where you will be setting up your own business. In the initial few tabs, you will need to make certain key decisions to do with the business setup and operations. You can then assess the performance of your business based on your inputs in the various reports that follows. Please note that maximizing profit is not the goal of this simulation, although you are free to do so if you wish</t>
  </si>
  <si>
    <t>(Please choose one of the following package you would like to purchase)</t>
  </si>
  <si>
    <t>Vehicle Cost = $15,000 for every 3000 delivery sales per month</t>
  </si>
  <si>
    <t>Deep fryers will automatically be purchased depending on predicted sales</t>
  </si>
  <si>
    <t>Conveyer ovens will automatically be purchased depending on predicted sales</t>
  </si>
  <si>
    <t xml:space="preserve"> </t>
  </si>
  <si>
    <t>Number of redundant employees</t>
  </si>
  <si>
    <t>Final Mark</t>
  </si>
  <si>
    <t>Completion Mark</t>
  </si>
  <si>
    <t>Ratio Mark</t>
  </si>
  <si>
    <t>COVID TOTAL SALES</t>
  </si>
  <si>
    <t>(Pick a value between $2.00 - $8.00)</t>
  </si>
  <si>
    <t>Working Capital</t>
  </si>
  <si>
    <t>Source: https://www.biospace.com/article/flattening-the-curve-covid-19/</t>
  </si>
  <si>
    <t>From September the wage Subsidy will decrease to $750/fortnight per worker</t>
  </si>
  <si>
    <t>Starting Increase in Customers</t>
  </si>
  <si>
    <t>Monthly Increase in Customers</t>
  </si>
  <si>
    <t>Final Number</t>
  </si>
  <si>
    <r>
      <t xml:space="preserve">With improving conditions, the government has also decided to reduce their emergency measures. </t>
    </r>
    <r>
      <rPr>
        <b/>
        <sz val="11"/>
        <color theme="1"/>
        <rFont val="Calibri"/>
        <family val="2"/>
        <scheme val="minor"/>
      </rPr>
      <t>From September, the Wage subsidy will also halve to $750 per fortnight</t>
    </r>
  </si>
  <si>
    <t>Name</t>
  </si>
  <si>
    <t>the CBD</t>
  </si>
  <si>
    <t>a suburban retail area</t>
  </si>
  <si>
    <t>a shopping centre foodcourt</t>
  </si>
  <si>
    <t>You will continue to offer ONLY your chosen take-away and delivery services from earlier</t>
  </si>
  <si>
    <t>COVID 12 Month Extension Calculations</t>
  </si>
  <si>
    <t>Takeaway/delivery modifiers</t>
  </si>
  <si>
    <t>Take-away and delivery sales will still decrease by the above amounts</t>
  </si>
  <si>
    <t>12month COVID Restriction Easing Data</t>
  </si>
  <si>
    <t>Base sales</t>
  </si>
  <si>
    <t>Dine-in actual sales</t>
  </si>
  <si>
    <t>Dine-in Revenue</t>
  </si>
  <si>
    <t>Reopen</t>
  </si>
  <si>
    <t>Chosen Reopen Month</t>
  </si>
  <si>
    <t>Reopen Sales</t>
  </si>
  <si>
    <t>utilities cost</t>
  </si>
  <si>
    <t>Dine-in takeaway sales</t>
  </si>
  <si>
    <t>Dine-in takeaway Revenue</t>
  </si>
  <si>
    <t>side employees required</t>
  </si>
  <si>
    <t>side depreciation</t>
  </si>
  <si>
    <t>SideDish COS</t>
  </si>
  <si>
    <t>total COS</t>
  </si>
  <si>
    <t>Vehicle Depn</t>
  </si>
  <si>
    <t>vehicle accu depn</t>
  </si>
  <si>
    <t>`</t>
  </si>
  <si>
    <t>halved payments</t>
  </si>
  <si>
    <t>employed</t>
  </si>
  <si>
    <t>wages costs</t>
  </si>
  <si>
    <t>delivery fees</t>
  </si>
  <si>
    <t>number FOR deliveries</t>
  </si>
  <si>
    <t>new vehicles</t>
  </si>
  <si>
    <t>Ubereats Fees</t>
  </si>
  <si>
    <t>total years (below)</t>
  </si>
  <si>
    <t>monthly foot traffic modifier</t>
  </si>
  <si>
    <t>total for this row</t>
  </si>
  <si>
    <t>© Curtin University, 2020. Please contact Wahseem Soobratty for distribution.</t>
  </si>
  <si>
    <t>Sales with Seasonal variation</t>
  </si>
  <si>
    <t>CovidJuly Choice</t>
  </si>
  <si>
    <t>First Number</t>
  </si>
  <si>
    <t>Last Number</t>
  </si>
  <si>
    <t>Redundant Employees</t>
  </si>
  <si>
    <t>Food Type</t>
  </si>
  <si>
    <t>FoodQualitySpend</t>
  </si>
  <si>
    <t>random</t>
  </si>
  <si>
    <t>2019ratiototalleft</t>
  </si>
  <si>
    <t>2020ratiototalright</t>
  </si>
  <si>
    <t>random2</t>
  </si>
  <si>
    <t>random3</t>
  </si>
  <si>
    <t>NO JULY VERSION (6 month)</t>
  </si>
  <si>
    <t>As lockdown have been effective in lowering the rates of COVID transmissions, from July, the government has begun to relax restrictions and allow some dine-on customers including in shopping centres and foodcourts. Each month, the restrictions will continue to relax. As restrictions relax, the level of take-away and delivery orders will decrease monthly as more people start to go out to eat again.</t>
  </si>
  <si>
    <t>j;lk</t>
  </si>
  <si>
    <t>Net Profit Margin Ratio</t>
  </si>
  <si>
    <t>Gross Profit Margin Ratio</t>
  </si>
  <si>
    <t>Return on Assets Ratio</t>
  </si>
  <si>
    <t>Return on Equity Ratio</t>
  </si>
  <si>
    <t>Total Asset Turnover Ratio</t>
  </si>
  <si>
    <t>Cash Ratio</t>
  </si>
  <si>
    <t>For the year ended 31st December 2019</t>
  </si>
  <si>
    <t>For the 12 months ended 31st December 2020</t>
  </si>
  <si>
    <t>Monthly Production Capacity</t>
  </si>
  <si>
    <t>Cool Room Purchase</t>
  </si>
  <si>
    <t>Kitchen Equipment Purchases</t>
  </si>
  <si>
    <t>Display Cabinet Purchases</t>
  </si>
  <si>
    <t>MAXIMUM $100,000 (This will be your opening Cash Balance)</t>
  </si>
  <si>
    <t>Kitchen Equipment Purchase</t>
  </si>
  <si>
    <t>Display Cabinet Purchase</t>
  </si>
  <si>
    <t>Total Kitchen Utilities Cost</t>
  </si>
  <si>
    <t>Kitchen Equipment</t>
  </si>
  <si>
    <t>Display Cabinet Equipment</t>
  </si>
  <si>
    <t>Coolroom</t>
  </si>
  <si>
    <t>Your choice of food display cabinets will entice customers. A larger cabinet will allow you to display more product. The extra space will also allow faster food service. Display Cabinets will have an estimated lifepsan of 10 years</t>
  </si>
  <si>
    <t>A large walk-in cool room will keep produce fresh for longer, reducing product waste. It will also allow you to store larger amounts of produce, allowing you to bulk-buy product at a discount. The Cool Room will have an estimated lifespan of 20 years</t>
  </si>
  <si>
    <t>Cabinet Depreciation</t>
  </si>
  <si>
    <t>Total Display Cabinet Depn</t>
  </si>
  <si>
    <t>Display Cabinets ASSET</t>
  </si>
  <si>
    <t>Kitchen Total Depn</t>
  </si>
  <si>
    <t>Kitchen, Display + Coolroom Depn</t>
  </si>
  <si>
    <t>AFTER COVID 19 First 6 months</t>
  </si>
  <si>
    <t>AFTER COVID 19 LAST 6 months</t>
  </si>
  <si>
    <t>Total Sales Revenue</t>
  </si>
  <si>
    <t>Delivery Driver Fees Expense</t>
  </si>
  <si>
    <t>OLD DELIVERY FEE CALC</t>
  </si>
  <si>
    <t xml:space="preserve">$1.50 increase in food costs for 'Delivery Sales' to reimburse drivers
10% of sales will be delivery
Convenience of deliveries improves sales growth over time. +8% sales growth (additive)
</t>
  </si>
  <si>
    <t>Greatly increases exposure which will increase sales growth over time. +35% sales growth (additive)
20% of sales will be delivery
25% of revenue from 'Delivery sales' will be paid in fees to delivery service</t>
  </si>
  <si>
    <r>
      <t>The government has announced a new</t>
    </r>
    <r>
      <rPr>
        <b/>
        <sz val="11"/>
        <color theme="1"/>
        <rFont val="Calibri"/>
        <family val="2"/>
        <scheme val="minor"/>
      </rPr>
      <t xml:space="preserve"> Wage Subsidy</t>
    </r>
    <r>
      <rPr>
        <sz val="11"/>
        <color theme="1"/>
        <rFont val="Calibri"/>
        <family val="2"/>
        <scheme val="minor"/>
      </rPr>
      <t xml:space="preserve"> initiative to try keep people employed, whereby they will pay workplaces </t>
    </r>
    <r>
      <rPr>
        <b/>
        <sz val="11"/>
        <color theme="1"/>
        <rFont val="Calibri"/>
        <family val="2"/>
        <scheme val="minor"/>
      </rPr>
      <t>$1,500 per employee per fortnight</t>
    </r>
    <r>
      <rPr>
        <sz val="11"/>
        <color theme="1"/>
        <rFont val="Calibri"/>
        <family val="2"/>
        <scheme val="minor"/>
      </rPr>
      <t xml:space="preserve"> but payments must go to employees</t>
    </r>
  </si>
  <si>
    <t>The Sales Manager will keep his job and is not included in the figures above and below</t>
  </si>
  <si>
    <t>MAIN Depn Expense</t>
  </si>
  <si>
    <t>New MAIN Utilities Cost</t>
  </si>
  <si>
    <t>MAIN depreciation</t>
  </si>
  <si>
    <t>TOTAL kitchen depn exp</t>
  </si>
  <si>
    <t>Side Utilities TOTAL</t>
  </si>
  <si>
    <t>NEW Cabinet Depn</t>
  </si>
  <si>
    <t>Cabinet Depn From Last year cabinets</t>
  </si>
  <si>
    <t>Combined Cabinet Depn For 2020</t>
  </si>
  <si>
    <t>Vehicle Cost = $15,000 for every 3000 delivery sales per month. 
Delivery costs covered by a delivery fee. 10% of sales will be delivery
Cars are branded, improving local exposure. Delivery convenience also increases growth. +12% sales growth (additive)
Vehicles will have an estimated life of 10 years</t>
  </si>
  <si>
    <t>Vehicles will have an estimated life of 10 years</t>
  </si>
  <si>
    <t>kitchen accu depn</t>
  </si>
  <si>
    <t>New 2020 Cabinets</t>
  </si>
  <si>
    <t>Cabinet Accu Depn</t>
  </si>
  <si>
    <t>Depreciation: Kitchen</t>
  </si>
  <si>
    <t>Depreciation: Display Cabinets</t>
  </si>
  <si>
    <t>Depreciation: Cool Room</t>
  </si>
  <si>
    <t>Depreciation: Vehicle</t>
  </si>
  <si>
    <t>Utilities Payable</t>
  </si>
  <si>
    <t>Rent Payable</t>
  </si>
  <si>
    <t>Insurance Payable</t>
  </si>
  <si>
    <t>Marketing Payable</t>
  </si>
  <si>
    <t>Salaries Payable</t>
  </si>
  <si>
    <t>Wages Payable</t>
  </si>
  <si>
    <t>final is wages payable</t>
  </si>
  <si>
    <t>Utilities, Rent, Insurance, Marketing, Wages &amp; Salaries expenses will be paid for ONE MONTH AFTER they fall due. All other expenses will be paid for immediately</t>
  </si>
  <si>
    <t>Anticipated Cash Receipts</t>
  </si>
  <si>
    <t>Base Credit Sales MAIN</t>
  </si>
  <si>
    <t>Base Credit Sales SIDE</t>
  </si>
  <si>
    <t>Base Total Credit Sales</t>
  </si>
  <si>
    <t>CURRENTLY USED</t>
  </si>
  <si>
    <t>TOTAL</t>
  </si>
  <si>
    <t>MAIN</t>
  </si>
  <si>
    <t>SIDE</t>
  </si>
  <si>
    <t>COMBINED Schedule of Accounts Receivable</t>
  </si>
  <si>
    <t>Net Credit Sales</t>
  </si>
  <si>
    <t>COMBINED Average Accounts Receivable</t>
  </si>
  <si>
    <t>Accounts Receivable Turnover Ratio</t>
  </si>
  <si>
    <t>*From experience:</t>
  </si>
  <si>
    <t>20% of Credit Sales are collected in the month of Sale</t>
  </si>
  <si>
    <t>50% of Credit Sales are collected in the month following Sale</t>
  </si>
  <si>
    <t>30% of Credit Sales are collected two months after Sale</t>
  </si>
  <si>
    <t>Inc 2019 Nov</t>
  </si>
  <si>
    <t>Inc 2019 Dec</t>
  </si>
  <si>
    <t>For the year ended 31st December 2020</t>
  </si>
  <si>
    <t>Sales Data</t>
  </si>
  <si>
    <t>Sales by Servings</t>
  </si>
  <si>
    <t>Sales by Revenue</t>
  </si>
  <si>
    <t>USED FOR SALES DATA</t>
  </si>
  <si>
    <t>From experience, approximately 70% of Sales are in Cash and 30% of Sales are on Credit</t>
  </si>
  <si>
    <t>Not sure how to Round? Enter number below and it will tell you what to round to</t>
  </si>
  <si>
    <t>HINT: THE RELATIONSHIP BETWEEN PRICE (ABOVE) AND INGREDIENT SPENDING (BELOW) WILL HAVE THE BIGGEST IMPACT ON POTENTIAL PROFITS</t>
  </si>
  <si>
    <t>Inventory Turnover (Combined Products) Ratio</t>
  </si>
  <si>
    <t>Your 2019 Answers</t>
  </si>
  <si>
    <t>Your 2020 Answers</t>
  </si>
  <si>
    <t>Target Market</t>
  </si>
  <si>
    <t>No focus will result on no particular bonus or penalty with pricing, advertising or other decisions</t>
  </si>
  <si>
    <t>The most price conscious. Has a high preference on cheaper food. Demand quickly falls away when prices rise too high. Prefers suburban areas and shopping centres</t>
  </si>
  <si>
    <t>Includes high school students, polytechnic/university students and apprentice tradespeople. Has a higher disposable income compared to young families, but still look out for cheap meals. No location bonus</t>
  </si>
  <si>
    <t>Children</t>
  </si>
  <si>
    <t>Teens</t>
  </si>
  <si>
    <t>Adults</t>
  </si>
  <si>
    <t>No Focus</t>
  </si>
  <si>
    <t>Shopping</t>
  </si>
  <si>
    <t>TargetMarketLocationBonus</t>
  </si>
  <si>
    <t>Advanced Marketing</t>
  </si>
  <si>
    <t>You will now be able to spend money on a variety of advertising mediums. Each will have an impact on sales independent of the others</t>
  </si>
  <si>
    <t>Radio Advertising</t>
  </si>
  <si>
    <t>For all below decisions, POSITIVE whole numbers must be entered</t>
  </si>
  <si>
    <t>Targeted Internet Advertising (Eg: Facebook, Youtube &amp; Reddit advertisements)</t>
  </si>
  <si>
    <t>Television Advertising (Including streamed/catchup TV)</t>
  </si>
  <si>
    <t>Marketing (Monthly spending)</t>
  </si>
  <si>
    <t>Costs differ depending on timeslot and range from a couple hundred to a few thousand dollars per 15sec showing</t>
  </si>
  <si>
    <t>TV Production</t>
  </si>
  <si>
    <t>TV Showing</t>
  </si>
  <si>
    <t>Production Cost will affect the quality of the advertisement. This is a one-off cost</t>
  </si>
  <si>
    <t>Effect:</t>
  </si>
  <si>
    <t>Ad cost</t>
  </si>
  <si>
    <t>Monthly Cost</t>
  </si>
  <si>
    <t>Franchise monthly fee</t>
  </si>
  <si>
    <t>Effect</t>
  </si>
  <si>
    <t>Base</t>
  </si>
  <si>
    <t>boost to base sales (Additive with other factors)</t>
  </si>
  <si>
    <t>TV</t>
  </si>
  <si>
    <t>Radio</t>
  </si>
  <si>
    <t>Radio Production</t>
  </si>
  <si>
    <t>Radio Showing</t>
  </si>
  <si>
    <t>Radio advertising is considerably cheaper than TV. Production Cost will affect the quality of the advertisement.</t>
  </si>
  <si>
    <t>One off Cost</t>
  </si>
  <si>
    <t>TV advertising has a bonus effect on Children/Young Families as Children are impressionable to ads</t>
  </si>
  <si>
    <t>Radio advertising has a bonus effect on Professional/Working Adults usually during commutes to work</t>
  </si>
  <si>
    <t>Radio advertising has a penalty for Children/Young Families as Children do not consume much radio media</t>
  </si>
  <si>
    <t>Print</t>
  </si>
  <si>
    <t>Website</t>
  </si>
  <si>
    <t>Targetted Ads</t>
  </si>
  <si>
    <t>Print advertising covers a wide range of different media and can range from very cheap newspaper ads to whole catalogues and large billboards</t>
  </si>
  <si>
    <t>The extensive range of options allows companies to customise where and when to target their audience in the most effective ways</t>
  </si>
  <si>
    <t>Print Advertising (Magazines, Newspapers, Signs, Billboards, Public Transport)</t>
  </si>
  <si>
    <t>Print Advertising</t>
  </si>
  <si>
    <t>Incremental Change</t>
  </si>
  <si>
    <t>Franchise Value</t>
  </si>
  <si>
    <t>Maintaining your own website allows customers to view your menus and specials from a dedicated site. It also allows direct communication with potential customers</t>
  </si>
  <si>
    <t>Search engine hits have also become very important to digital presence. Reviews from the public also need monitoring to shape your reputation</t>
  </si>
  <si>
    <t>Print advertising has a small penalty for Children/Young Families as they cannot always read, but often still recognise iconography &amp; logos</t>
  </si>
  <si>
    <t>Internet Ads</t>
  </si>
  <si>
    <t>Combined Effect</t>
  </si>
  <si>
    <t>Old Sales Multiplier</t>
  </si>
  <si>
    <t>1+(SQRT(I2)/300)</t>
  </si>
  <si>
    <t>=ROUND(SIN(C114*(PI()/200))*H102,4)</t>
  </si>
  <si>
    <t>old website</t>
  </si>
  <si>
    <t>=ROUND((C115/150+SQRT(C115)/20)*I102,4)</t>
  </si>
  <si>
    <t>old internet ads</t>
  </si>
  <si>
    <t>Source: Designed by macrovector / Freepik</t>
  </si>
  <si>
    <t>Ingredient Quality</t>
  </si>
  <si>
    <t>Food price</t>
  </si>
  <si>
    <t>Staff Wages</t>
  </si>
  <si>
    <t>Online Presence: Website/Social Media &amp; Search Engine advertising (Eg: Google &amp; Google Map searches)</t>
  </si>
  <si>
    <t>IMPORTANT NOTES BEFORE YOU BEGIN:</t>
  </si>
  <si>
    <t xml:space="preserve">1) </t>
  </si>
  <si>
    <t>AS A REMINDER, NUMBERS DISPLAYED IN (BRACKETS) ARE NEGATIVE NUMBERS. IE: (1000) MEANS -1000</t>
  </si>
  <si>
    <t xml:space="preserve">2) </t>
  </si>
  <si>
    <t>TO NAVIGATE BETWEEN TABS, USE THE TABS BELOW. HOWEVER WE HAVE ALSO SET UP THE 'WATCH WINDOW' TO CERTAIN TABS TO ALLOW JUMPING BETWEEN TABS. TO TURN ON 'WATCH WINDOW', GO TO THE FORMULAS TAB (ABOVE)</t>
  </si>
  <si>
    <t>TOTAL Sales Revenue</t>
  </si>
  <si>
    <t>New</t>
  </si>
  <si>
    <t>EBIT (Earning Before Interest &amp; Taxation)</t>
  </si>
  <si>
    <t>Amount (MINIMUM = $50,000 | MAXIMUM = $500,000)</t>
  </si>
  <si>
    <t>Total Expenses (Except Interest)</t>
  </si>
  <si>
    <t>Times Interest Earned Ratio</t>
  </si>
  <si>
    <t>EBIT (Earnings Before Interest &amp; Taxation)</t>
  </si>
  <si>
    <t>* Taxation not covered in this unit</t>
  </si>
  <si>
    <t>Initial Loan</t>
  </si>
  <si>
    <t>Emergency Loan calculations</t>
  </si>
  <si>
    <t>Emergency Loans</t>
  </si>
  <si>
    <t>New Total Loan</t>
  </si>
  <si>
    <t>Emergency Loan</t>
  </si>
  <si>
    <t>Loan Repayment</t>
  </si>
  <si>
    <t>Dec20 (to 2021 Jan)</t>
  </si>
  <si>
    <t>Interest Portion</t>
  </si>
  <si>
    <t>If your Cash Balance falls below Zero during any month, an emergency loan will be taken out at the beginning of the following month (Repayment terms will be as per your settings above)</t>
  </si>
  <si>
    <t>First Month</t>
  </si>
  <si>
    <t>12month interest</t>
  </si>
  <si>
    <t>Principal Payment</t>
  </si>
  <si>
    <t>Remaining Loan</t>
  </si>
  <si>
    <t>principal payments</t>
  </si>
  <si>
    <t>total payments</t>
  </si>
  <si>
    <t>Average Combined Inventory Balance</t>
  </si>
  <si>
    <t>Combined</t>
  </si>
  <si>
    <t>A/C Rec</t>
  </si>
  <si>
    <t>November 2019</t>
  </si>
  <si>
    <t>December 2019</t>
  </si>
  <si>
    <t>TOTAL Returns</t>
  </si>
  <si>
    <t>DEBUG</t>
  </si>
  <si>
    <t>DISCLAIMER: Due to the wildly different levels of COVID infections not only from Country-to-Country but also State-to-State within countries in 2020-2022, the following is an oversimplification of the actual situation. Lifting of restrictions has also been sped up considerably from what happened.</t>
  </si>
  <si>
    <t>IMPORTANT 1: The Business Simulation will NOT work on iPads. You will need to use a PC or Mac
IMPORTANT 2 : You MUST to use Excel to ensure the simulation functions properly (Not Numbers, OpenOffice or other software). All curtin students have free access to Office 365 provided by the university. See https://students.curtin.edu.au/essentials/it/software/ for more details.</t>
  </si>
  <si>
    <t>PLEASE USE THE INFORMATION FROM THE '2019 FULL YEAR CASH BUDGET', '2019 SCHEDULE OF A/C RECEIVABLE', '2019 INVENTORY REPORTS', '2019 INCOME STATEMENT' AND '2019 BALANCE SHEET' TABS
EXPRESS ALL ANSWERS AS A DECIMAL (NOT FRACTION OR PERCENTAGE)
PLEASE ROUND ALL ANSWERS TO 4 DECIMAL PLACES
ONLY INCLUDE YOUR FINAL ANSWER. DO NOT INCLUDE ANY WORKINGS
IF A FIGURE FROM THE FINANCIAL STATEMENTS IS IN (BRACKETS), THEN IT IS NEGATIVE AND NEEDS TO BE ENTERED AS A NEGATIVE NUMBER IN YOUR RATIO CALCULATIONS</t>
  </si>
  <si>
    <t>PLEASE USE THE INFORMATION FROM THE '2020 COVID CASH BUDGET', '2020 COVID A/C RECEIVABLE', '2020 COVID INVENTORY REPORTS', '2020 COVID INCOME STATEMENT' AND '2020 COVID BALANCE SHEET' TABS
EXPRESS ALL ANSWERS AS A DECIMAL (NOT FRACTION OR PERCENTAGE)
PLEASE ROUND ALL ANSWERS TO 4 DECIMAL PLACES
ONLY INCLUDE YOUR FINAL ANSWER. DO NOT INCLUDE ANY WORKINGS
IF A FIGURE FROM THE FINANCIAL STATEMENTS IS IN (BRACKETS), THEN IT IS NEGATIVE AND NEEDS TO BE ENTERED AS A NEGATIVE NUMBER IN YOUR RATIO CALCULATIONS</t>
  </si>
  <si>
    <t>NOTE: You MAY choose to spend ZERO on Advertising/Marketing. This will not impact your grade. All are optional</t>
  </si>
  <si>
    <t>Taking out a loan will increase the necessary capital requirement</t>
  </si>
  <si>
    <r>
      <t xml:space="preserve">Inventory Turnover Ratio (Combined Products)
</t>
    </r>
    <r>
      <rPr>
        <sz val="9"/>
        <color rgb="FFFF0000"/>
        <rFont val="Times New Roman"/>
        <family val="1"/>
      </rPr>
      <t>NOTE: Please use the Average Combined Inventory Balance values from Tab “2019 Inventory Reports”</t>
    </r>
  </si>
  <si>
    <r>
      <t xml:space="preserve">Accounts Receivable Turnover Ratio
</t>
    </r>
    <r>
      <rPr>
        <sz val="9"/>
        <color rgb="FFFF0000"/>
        <rFont val="Times New Roman"/>
        <family val="1"/>
      </rPr>
      <t>NOTE: Please use the Average Accounts Receivable values from Tab “2019 Schedule of Accounts”</t>
    </r>
  </si>
  <si>
    <r>
      <t xml:space="preserve">                  Acid Test Ratio
</t>
    </r>
    <r>
      <rPr>
        <sz val="9"/>
        <color rgb="FFFF0000"/>
        <rFont val="Times New Roman"/>
        <family val="1"/>
      </rPr>
      <t>NOTE 1: If Cash is a negative value (A current liability), it should be a negative number in this Ratio
NOTE 2: For Accounts Receivable, please use the values from Tab “2020 Balance Sheet”</t>
    </r>
  </si>
  <si>
    <r>
      <t xml:space="preserve">Accounts Receivable Turnover Ratio
</t>
    </r>
    <r>
      <rPr>
        <sz val="9"/>
        <color rgb="FFFF0000"/>
        <rFont val="Times New Roman"/>
        <family val="1"/>
      </rPr>
      <t>NOTE: Please use the Average Accounts Receivable values from Tab “2020 Schedule of Accounts”</t>
    </r>
  </si>
  <si>
    <r>
      <t xml:space="preserve">Inventory Turnover (Combined Products) Ratio
</t>
    </r>
    <r>
      <rPr>
        <sz val="9"/>
        <color rgb="FFFF0000"/>
        <rFont val="Times New Roman"/>
        <family val="1"/>
      </rPr>
      <t>NOTE: Please use the Average Combined Inventory Balance values from Tab “2020 Inventory Reports”</t>
    </r>
  </si>
  <si>
    <t>NOTE: THESE FIGURES ARE YOUR INPUTTED ANSWERS FROM THE 2019 AND 2020 RATIO ANALYSIS TABS. 
THIS TAB IS HERE TO HELP YOU TRANSFER YOUR ANSWERS FROM THE SIMULATION INTO THE REPORT (REMEMBER TO USE THE PROVIDED TEMPLATE ON BLACKBOARD FOR THE REPORT). 
YOU WILL BE ABLE TO SELECT AND COPY/PASTE DATA FROM THIS TAB BUT NOT CHANGE ANY NUMBERS</t>
  </si>
  <si>
    <r>
      <t xml:space="preserve">                   Acid Test Ratio
</t>
    </r>
    <r>
      <rPr>
        <sz val="9"/>
        <color rgb="FFFF0000"/>
        <rFont val="Times New Roman"/>
        <family val="1"/>
      </rPr>
      <t>NOTE 1: If Cash is a negative value (A current liability), it should be a negative number in this Ratio</t>
    </r>
    <r>
      <rPr>
        <sz val="12"/>
        <rFont val="Times New Roman"/>
        <family val="1"/>
      </rPr>
      <t xml:space="preserve">
</t>
    </r>
    <r>
      <rPr>
        <sz val="9"/>
        <color rgb="FFFF0000"/>
        <rFont val="Times New Roman"/>
        <family val="1"/>
      </rPr>
      <t>NOTE: If Cash is a negative value (A current liability), it should be a negative number in this Ratio</t>
    </r>
  </si>
  <si>
    <t>STOP!... BEFORE CONTINUING, IF YOU ARE UNHAPPY WITH THE PERFORMANCE OF YOUR BUSINESS, FEEL FREE TO GO BACK AND CHANGE SOME OF YOUR DECISIONS. YOU MAY DO THIS AS MANY TIMES AS YOU LIKE</t>
  </si>
  <si>
    <t>Manual Override: If the slider bar above does not work, you may enter a value here</t>
  </si>
  <si>
    <t>(Pick a value between $5.00 - $20.00)</t>
  </si>
  <si>
    <t>(The average wage for food and beverage staff is $32)</t>
  </si>
  <si>
    <t>(Pick a value between $20 - $50)</t>
  </si>
  <si>
    <t>Price must be atleast $1 higher than ingredient spending (below)</t>
  </si>
  <si>
    <t>Production Cost (One-off) Maximum: $100,000</t>
  </si>
  <si>
    <t>Monthly Network Spending (Cost to show on TV) Maximum $900,000/mth</t>
  </si>
  <si>
    <t>Monthly Network Spending (Cost to broadcast on radio) Maximum $60,000/mth</t>
  </si>
  <si>
    <t>Production Cost (One-off) Maximum $6,000</t>
  </si>
  <si>
    <t>Monthly Spending. Maximum $200,000/mth</t>
  </si>
  <si>
    <t>Monthly Spending. Maximum $5,000/mth</t>
  </si>
  <si>
    <t>slider</t>
  </si>
  <si>
    <t>manual entry</t>
  </si>
  <si>
    <r>
      <t>Manual Override: If the slider bar above does not work, you may enter a value here</t>
    </r>
    <r>
      <rPr>
        <b/>
        <sz val="10"/>
        <color rgb="FFFF0000"/>
        <rFont val="Calibri"/>
        <family val="2"/>
        <scheme val="minor"/>
      </rPr>
      <t xml:space="preserve"> (Rounded to the nearest $600)</t>
    </r>
  </si>
  <si>
    <r>
      <t xml:space="preserve">Manual Override: If the slider bar above does not work, you may enter a value here </t>
    </r>
    <r>
      <rPr>
        <b/>
        <sz val="10"/>
        <color rgb="FFFF0000"/>
        <rFont val="Calibri"/>
        <family val="2"/>
        <scheme val="minor"/>
      </rPr>
      <t>(Rounded to the nearest $9000)</t>
    </r>
  </si>
  <si>
    <r>
      <t>Manual Override: If the slider bar above does not work, you may enter a value here</t>
    </r>
    <r>
      <rPr>
        <b/>
        <sz val="10"/>
        <color rgb="FFFF0000"/>
        <rFont val="Calibri"/>
        <family val="2"/>
        <scheme val="minor"/>
      </rPr>
      <t xml:space="preserve"> (Rounded to the nearest $100)</t>
    </r>
  </si>
  <si>
    <t>Targeted Internet advertising has a penalty for Teenagers/Young Adults due to the increasing uptake of ad blockers and "Do not track" privacy settings</t>
  </si>
  <si>
    <t>Targeted Internet advertising has a small penalty for Children/Young Families due to the lower number of devices and use of parental settings</t>
  </si>
  <si>
    <r>
      <t>Manual Override: If the slider bar above does not work, you may enter a value here</t>
    </r>
    <r>
      <rPr>
        <b/>
        <sz val="10"/>
        <color rgb="FFFF0000"/>
        <rFont val="Calibri"/>
        <family val="2"/>
        <scheme val="minor"/>
      </rPr>
      <t xml:space="preserve"> (Rounded to the nearest $1000)</t>
    </r>
  </si>
  <si>
    <r>
      <t>Manual Override: If the slider bar above does not work, you may enter a value here</t>
    </r>
    <r>
      <rPr>
        <b/>
        <sz val="10"/>
        <color rgb="FFFF0000"/>
        <rFont val="Calibri"/>
        <family val="2"/>
        <scheme val="minor"/>
      </rPr>
      <t xml:space="preserve"> (Rounded to the nearest $50)</t>
    </r>
  </si>
  <si>
    <t>manual below</t>
  </si>
  <si>
    <r>
      <rPr>
        <b/>
        <sz val="11"/>
        <color theme="1"/>
        <rFont val="Calibri"/>
        <family val="2"/>
        <scheme val="minor"/>
      </rPr>
      <t>Term of the loan</t>
    </r>
    <r>
      <rPr>
        <sz val="11"/>
        <color theme="1"/>
        <rFont val="Calibri"/>
        <family val="2"/>
        <scheme val="minor"/>
      </rPr>
      <t xml:space="preserve"> (Between 3 yrs to 30 years)</t>
    </r>
  </si>
  <si>
    <t>(Rounded to nearest year)</t>
  </si>
  <si>
    <t>Amount (MINIMUM = $0 | MAXIMUM = $2,000,000)</t>
  </si>
  <si>
    <t>manual</t>
  </si>
  <si>
    <t>Slider (Below) Price &gt;</t>
  </si>
  <si>
    <t>chosen</t>
  </si>
  <si>
    <t>Staff will automatically be hired proportional to sales. How much will you pay staff per hour? Wages will impact employee turnover, which will have an impact on their level of training and efficiency, influencing initial sales and sales growth</t>
  </si>
  <si>
    <t>The number of required packages will be automatically calculated and acquired based on sales</t>
  </si>
  <si>
    <t>Your Target market will influence the sales bonus from your designated pricing (Previous Tab). This does not mean other customer types will not buy your food. Your target market will also affect which types of advertising (below) will be more effective</t>
  </si>
  <si>
    <t>Willing to spend more money on higher cost &amp; higher quality foods. Will still indulge in cheaper foods too. Most work in City CBD areas.</t>
  </si>
  <si>
    <t>Ads cost money per showing. TV requires the highest spending but potentially reaches the most audience members</t>
  </si>
  <si>
    <t>TV advertising has a penalty for Teenagers/Young Adults as they are not watching traditional media as much</t>
  </si>
  <si>
    <t>Ads cost money per showing. Radio advertising costs less than TV but still reaches a decent audience</t>
  </si>
  <si>
    <t>Costs differ depending on timeslot and range from a couple hundred to a few thousand dollars per 15sec segment</t>
  </si>
  <si>
    <t>Using user data and tracking browsing history, internet companies have been able to increasingly target the right audiences with the right ads</t>
  </si>
  <si>
    <t>2019 Profit</t>
  </si>
  <si>
    <t>2020 Profit</t>
  </si>
  <si>
    <t>Mark for Profitability</t>
  </si>
  <si>
    <t>Possible Mark for Profitability</t>
  </si>
  <si>
    <t>SingaporeProfitabilityOverride</t>
  </si>
  <si>
    <r>
      <t xml:space="preserve">                   Cash Ratio
</t>
    </r>
    <r>
      <rPr>
        <sz val="9"/>
        <color rgb="FFFF0000"/>
        <rFont val="Times New Roman"/>
        <family val="1"/>
      </rPr>
      <t>NOTE 1: If Cash is a negative value (A current liability), it should be a negative number in this Ratio</t>
    </r>
  </si>
  <si>
    <r>
      <t xml:space="preserve">                  Cash Ratio
</t>
    </r>
    <r>
      <rPr>
        <sz val="9"/>
        <color rgb="FFFF0000"/>
        <rFont val="Times New Roman"/>
        <family val="1"/>
      </rPr>
      <t>NOTE 1: If Cash is a negative value (A current liability), it should be a negative number in this Ratio</t>
    </r>
  </si>
  <si>
    <t>Ratio correctness calculations</t>
  </si>
  <si>
    <t>2019 Correct Answer</t>
  </si>
  <si>
    <t>Student Answer</t>
  </si>
  <si>
    <t>Mark</t>
  </si>
  <si>
    <t>2020 Correct Answer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</si>
</sst>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_);\(&quot;$&quot;#,##0\)"/>
    <numFmt numFmtId="165" formatCode="&quot;$&quot;#,##0_);[Red]\(&quot;$&quot;#,##0\)"/>
    <numFmt numFmtId="166" formatCode="_(&quot;$&quot;* #,##0.00_);_(&quot;$&quot;* \(#,##0.00\);_(&quot;$&quot;* &quot;-&quot;??_);_(@_)"/>
    <numFmt numFmtId="167" formatCode="_(* #,##0.00_);_(* \(#,##0.00\);_(* &quot;-&quot;??_);_(@_)"/>
    <numFmt numFmtId="168" formatCode="&quot;$&quot;#,##0"/>
    <numFmt numFmtId="169" formatCode="&quot;$&quot;#,##0.00"/>
    <numFmt numFmtId="170" formatCode="0.00000000000000"/>
    <numFmt numFmtId="171" formatCode="_(&quot;$&quot;* #,##0_);_(&quot;$&quot;* \(#,##0\);_(&quot;$&quot;* &quot;-&quot;??_);_(@_)"/>
    <numFmt numFmtId="172" formatCode="000000000000"/>
    <numFmt numFmtId="173" formatCode="0.0000"/>
  </numFmts>
  <fonts count="58" x14ac:knownFonts="1">
    <font>
      <sz val="11"/>
      <color theme="1"/>
      <name val="Calibri"/>
      <family val="2"/>
      <scheme val="minor"/>
    </font>
    <font>
      <sz val="11"/>
      <color rgb="FFFF0000"/>
      <name val="Calibri"/>
      <family val="2"/>
      <scheme val="minor"/>
    </font>
    <font>
      <sz val="8"/>
      <name val="Calibri"/>
      <family val="2"/>
      <scheme val="minor"/>
    </font>
    <font>
      <sz val="10"/>
      <name val="Arial"/>
      <family val="2"/>
    </font>
    <font>
      <sz val="10"/>
      <name val="Times New Roman"/>
      <family val="1"/>
    </font>
    <font>
      <sz val="8"/>
      <name val="Arial"/>
      <family val="2"/>
    </font>
    <font>
      <sz val="8"/>
      <name val="Times New Roman"/>
      <family val="1"/>
    </font>
    <font>
      <b/>
      <sz val="11"/>
      <color theme="1"/>
      <name val="Calibri"/>
      <family val="2"/>
      <scheme val="minor"/>
    </font>
    <font>
      <sz val="10"/>
      <color theme="1"/>
      <name val="Calibri"/>
      <family val="2"/>
      <scheme val="minor"/>
    </font>
    <font>
      <sz val="9"/>
      <color theme="1"/>
      <name val="Calibri"/>
      <family val="2"/>
      <scheme val="minor"/>
    </font>
    <font>
      <b/>
      <sz val="11"/>
      <color rgb="FFFF0000"/>
      <name val="Calibri"/>
      <family val="2"/>
      <scheme val="minor"/>
    </font>
    <font>
      <b/>
      <sz val="20"/>
      <color rgb="FFFF0000"/>
      <name val="Calibri"/>
      <family val="2"/>
      <scheme val="minor"/>
    </font>
    <font>
      <sz val="8"/>
      <color rgb="FF000000"/>
      <name val="Tahoma"/>
      <family val="2"/>
    </font>
    <font>
      <b/>
      <sz val="18"/>
      <color rgb="FFFF0000"/>
      <name val="Calibri"/>
      <family val="2"/>
      <scheme val="minor"/>
    </font>
    <font>
      <sz val="18"/>
      <color theme="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sz val="8"/>
      <color rgb="FFFF0000"/>
      <name val="Times New Roman"/>
      <family val="1"/>
    </font>
    <font>
      <sz val="8"/>
      <color theme="4"/>
      <name val="Times New Roman"/>
      <family val="1"/>
    </font>
    <font>
      <sz val="11"/>
      <color theme="4"/>
      <name val="Calibri"/>
      <family val="2"/>
      <scheme val="minor"/>
    </font>
    <font>
      <sz val="14"/>
      <color theme="1"/>
      <name val="Calibri"/>
      <family val="2"/>
      <scheme val="minor"/>
    </font>
    <font>
      <sz val="14"/>
      <color theme="2"/>
      <name val="Calibri"/>
      <family val="2"/>
      <scheme val="minor"/>
    </font>
    <font>
      <sz val="8"/>
      <color theme="1" tint="0.34998626667073579"/>
      <name val="Calibri"/>
      <family val="2"/>
      <scheme val="minor"/>
    </font>
    <font>
      <sz val="12"/>
      <name val="Arial"/>
      <family val="2"/>
    </font>
    <font>
      <sz val="12"/>
      <name val="Times New Roman"/>
      <family val="1"/>
    </font>
    <font>
      <sz val="12"/>
      <color theme="1"/>
      <name val="Times New Roman"/>
      <family val="1"/>
    </font>
    <font>
      <b/>
      <sz val="14"/>
      <name val="Times New Roman"/>
      <family val="1"/>
    </font>
    <font>
      <sz val="16"/>
      <color theme="1"/>
      <name val="Calibri"/>
      <family val="2"/>
      <scheme val="minor"/>
    </font>
    <font>
      <b/>
      <sz val="14"/>
      <name val="Arial"/>
      <family val="2"/>
    </font>
    <font>
      <b/>
      <sz val="14"/>
      <color theme="4"/>
      <name val="Times New Roman"/>
      <family val="1"/>
    </font>
    <font>
      <b/>
      <sz val="14"/>
      <color theme="4"/>
      <name val="Arial"/>
      <family val="2"/>
    </font>
    <font>
      <b/>
      <sz val="14"/>
      <color rgb="FFFF0000"/>
      <name val="Arial"/>
      <family val="2"/>
    </font>
    <font>
      <sz val="12"/>
      <color rgb="FFFF0000"/>
      <name val="Times New Roman"/>
      <family val="1"/>
    </font>
    <font>
      <sz val="8"/>
      <color theme="1" tint="0.499984740745262"/>
      <name val="Calibri"/>
      <family val="2"/>
      <scheme val="minor"/>
    </font>
    <font>
      <b/>
      <sz val="12"/>
      <color rgb="FFFF0000"/>
      <name val="Calibri"/>
      <family val="2"/>
      <scheme val="minor"/>
    </font>
    <font>
      <sz val="11"/>
      <color theme="1"/>
      <name val="Calibri"/>
      <family val="2"/>
      <scheme val="minor"/>
    </font>
    <font>
      <sz val="11"/>
      <color theme="2"/>
      <name val="Calibri"/>
      <family val="2"/>
      <scheme val="minor"/>
    </font>
    <font>
      <b/>
      <sz val="11"/>
      <color theme="2"/>
      <name val="Calibri"/>
      <family val="2"/>
      <scheme val="minor"/>
    </font>
    <font>
      <sz val="8"/>
      <color theme="2"/>
      <name val="Times New Roman"/>
      <family val="1"/>
    </font>
    <font>
      <b/>
      <sz val="14"/>
      <color theme="2"/>
      <name val="Times New Roman"/>
      <family val="1"/>
    </font>
    <font>
      <sz val="18"/>
      <color theme="2"/>
      <name val="Calibri"/>
      <family val="2"/>
      <scheme val="minor"/>
    </font>
    <font>
      <b/>
      <u/>
      <sz val="11"/>
      <color rgb="FFFF0000"/>
      <name val="Calibri"/>
      <family val="2"/>
      <scheme val="minor"/>
    </font>
    <font>
      <b/>
      <sz val="10"/>
      <color rgb="FFFF0000"/>
      <name val="Calibri"/>
      <family val="2"/>
      <scheme val="minor"/>
    </font>
    <font>
      <sz val="8"/>
      <color theme="1"/>
      <name val="Calibri"/>
      <family val="2"/>
      <scheme val="minor"/>
    </font>
    <font>
      <b/>
      <sz val="16"/>
      <color theme="1"/>
      <name val="Calibri"/>
      <family val="2"/>
      <scheme val="minor"/>
    </font>
    <font>
      <b/>
      <sz val="16"/>
      <color rgb="FF00B0F0"/>
      <name val="Calibri"/>
      <family val="2"/>
      <scheme val="minor"/>
    </font>
    <font>
      <b/>
      <sz val="11"/>
      <color rgb="FF00B0F0"/>
      <name val="Calibri"/>
      <family val="2"/>
      <scheme val="minor"/>
    </font>
    <font>
      <b/>
      <sz val="16"/>
      <color rgb="FFFF0000"/>
      <name val="Arial"/>
      <family val="2"/>
    </font>
    <font>
      <b/>
      <sz val="14"/>
      <color rgb="FF00B0F0"/>
      <name val="Calibri"/>
      <family val="2"/>
      <scheme val="minor"/>
    </font>
    <font>
      <sz val="16"/>
      <color rgb="FFFF0000"/>
      <name val="Calibri"/>
      <family val="2"/>
      <scheme val="minor"/>
    </font>
    <font>
      <b/>
      <sz val="16"/>
      <color rgb="FF00B0F0"/>
      <name val="Times New Roman"/>
      <family val="1"/>
    </font>
    <font>
      <b/>
      <sz val="16"/>
      <color rgb="FFFF0000"/>
      <name val="Calibri"/>
      <family val="2"/>
      <scheme val="minor"/>
    </font>
    <font>
      <sz val="9"/>
      <color rgb="FFFF0000"/>
      <name val="Times New Roman"/>
      <family val="1"/>
    </font>
    <font>
      <b/>
      <sz val="22"/>
      <color rgb="FF0070C0"/>
      <name val="Calibri"/>
      <family val="2"/>
      <scheme val="minor"/>
    </font>
    <font>
      <b/>
      <sz val="10"/>
      <color theme="4"/>
      <name val="Calibri"/>
      <family val="2"/>
      <scheme val="minor"/>
    </font>
    <font>
      <b/>
      <sz val="14"/>
      <color rgb="FFFF0000"/>
      <name val="Times New Roman"/>
      <family val="1"/>
    </font>
    <font>
      <b/>
      <sz val="14"/>
      <color rgb="FFFF0000"/>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theme="9"/>
        <bgColor indexed="64"/>
      </patternFill>
    </fill>
    <fill>
      <patternFill patternType="solid">
        <fgColor rgb="FFFFF7E1"/>
        <bgColor indexed="64"/>
      </patternFill>
    </fill>
    <fill>
      <patternFill patternType="solid">
        <fgColor theme="7" tint="0.39997558519241921"/>
        <bgColor indexed="64"/>
      </patternFill>
    </fill>
    <fill>
      <patternFill patternType="solid">
        <fgColor rgb="FFB17ED8"/>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bgColor indexed="64"/>
      </patternFill>
    </fill>
    <fill>
      <patternFill patternType="solid">
        <fgColor rgb="FF00B050"/>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7" tint="-0.249977111117893"/>
        <bgColor indexed="64"/>
      </patternFill>
    </fill>
    <fill>
      <patternFill patternType="solid">
        <fgColor rgb="FFFF00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double">
        <color theme="1" tint="0.499984740745262"/>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theme="1" tint="0.499984740745262"/>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bottom/>
      <diagonal/>
    </border>
  </borders>
  <cellStyleXfs count="4">
    <xf numFmtId="0" fontId="0" fillId="0" borderId="0"/>
    <xf numFmtId="0" fontId="3" fillId="0" borderId="0"/>
    <xf numFmtId="166" fontId="36" fillId="0" borderId="0" applyFont="0" applyFill="0" applyBorder="0" applyAlignment="0" applyProtection="0"/>
    <xf numFmtId="9" fontId="36" fillId="0" borderId="0" applyFont="0" applyFill="0" applyBorder="0" applyAlignment="0" applyProtection="0"/>
  </cellStyleXfs>
  <cellXfs count="441">
    <xf numFmtId="0" fontId="0" fillId="0" borderId="0" xfId="0"/>
    <xf numFmtId="0" fontId="0" fillId="3" borderId="0" xfId="0" applyFill="1"/>
    <xf numFmtId="0" fontId="9" fillId="3" borderId="0" xfId="0" applyFont="1" applyFill="1"/>
    <xf numFmtId="0" fontId="8" fillId="3" borderId="0" xfId="0" applyFont="1" applyFill="1"/>
    <xf numFmtId="168" fontId="0" fillId="3" borderId="0" xfId="0" applyNumberFormat="1" applyFill="1"/>
    <xf numFmtId="169" fontId="0" fillId="3" borderId="0" xfId="0" applyNumberFormat="1" applyFill="1"/>
    <xf numFmtId="0" fontId="10" fillId="3" borderId="0" xfId="0" applyFont="1" applyFill="1"/>
    <xf numFmtId="0" fontId="7" fillId="3" borderId="0" xfId="0" applyFont="1" applyFill="1"/>
    <xf numFmtId="0" fontId="0" fillId="3" borderId="0" xfId="0" applyFill="1" applyAlignment="1">
      <alignment wrapText="1"/>
    </xf>
    <xf numFmtId="0" fontId="0" fillId="3" borderId="0" xfId="0" applyFill="1" applyAlignment="1">
      <alignment horizontal="left" wrapText="1"/>
    </xf>
    <xf numFmtId="0" fontId="0" fillId="3" borderId="2" xfId="0" applyFill="1" applyBorder="1"/>
    <xf numFmtId="0" fontId="0" fillId="3" borderId="3" xfId="0" applyFill="1" applyBorder="1"/>
    <xf numFmtId="0" fontId="0" fillId="3" borderId="0" xfId="0" applyFill="1" applyAlignment="1">
      <alignment horizontal="center"/>
    </xf>
    <xf numFmtId="0" fontId="14" fillId="3" borderId="0" xfId="0" applyFont="1" applyFill="1"/>
    <xf numFmtId="0" fontId="0" fillId="3" borderId="0" xfId="0" applyFill="1" applyAlignment="1">
      <alignment horizontal="left"/>
    </xf>
    <xf numFmtId="0" fontId="7" fillId="3" borderId="0" xfId="0" applyFont="1" applyFill="1" applyAlignment="1">
      <alignment horizontal="center"/>
    </xf>
    <xf numFmtId="166" fontId="0" fillId="3" borderId="0" xfId="0" applyNumberFormat="1" applyFill="1"/>
    <xf numFmtId="166" fontId="7" fillId="3" borderId="0" xfId="0" applyNumberFormat="1" applyFont="1" applyFill="1"/>
    <xf numFmtId="0" fontId="11" fillId="3" borderId="0" xfId="0" applyFont="1" applyFill="1"/>
    <xf numFmtId="0" fontId="7" fillId="3" borderId="15" xfId="0" applyFont="1" applyFill="1" applyBorder="1" applyAlignment="1">
      <alignment horizontal="center"/>
    </xf>
    <xf numFmtId="0" fontId="0" fillId="3" borderId="2" xfId="0" applyFill="1" applyBorder="1" applyAlignment="1">
      <alignment horizontal="left" indent="3"/>
    </xf>
    <xf numFmtId="0" fontId="15" fillId="3" borderId="2" xfId="0" applyFont="1" applyFill="1" applyBorder="1" applyAlignment="1">
      <alignment horizontal="left"/>
    </xf>
    <xf numFmtId="0" fontId="0" fillId="3" borderId="2" xfId="0" applyFill="1" applyBorder="1" applyAlignment="1">
      <alignment horizontal="left"/>
    </xf>
    <xf numFmtId="0" fontId="0" fillId="3" borderId="18" xfId="0" applyFill="1" applyBorder="1"/>
    <xf numFmtId="0" fontId="15" fillId="3" borderId="15" xfId="0" applyFont="1" applyFill="1" applyBorder="1" applyAlignment="1">
      <alignment horizontal="center"/>
    </xf>
    <xf numFmtId="0" fontId="7" fillId="3" borderId="1" xfId="0" applyFont="1" applyFill="1" applyBorder="1" applyAlignment="1">
      <alignment horizontal="center"/>
    </xf>
    <xf numFmtId="0" fontId="15" fillId="3" borderId="2" xfId="0" applyFont="1" applyFill="1" applyBorder="1"/>
    <xf numFmtId="0" fontId="0" fillId="3" borderId="22" xfId="0" applyFill="1" applyBorder="1"/>
    <xf numFmtId="0" fontId="0" fillId="3" borderId="2" xfId="0" applyFill="1" applyBorder="1" applyAlignment="1">
      <alignment horizontal="left" indent="4"/>
    </xf>
    <xf numFmtId="0" fontId="15" fillId="3" borderId="0" xfId="0" applyFont="1" applyFill="1"/>
    <xf numFmtId="0" fontId="0" fillId="3" borderId="23" xfId="0" applyFill="1" applyBorder="1"/>
    <xf numFmtId="0" fontId="0" fillId="3" borderId="24" xfId="0" applyFill="1" applyBorder="1"/>
    <xf numFmtId="167" fontId="0" fillId="3" borderId="0" xfId="0" applyNumberFormat="1" applyFill="1"/>
    <xf numFmtId="0" fontId="16" fillId="3" borderId="2" xfId="0" applyFont="1" applyFill="1" applyBorder="1" applyAlignment="1">
      <alignment horizontal="center"/>
    </xf>
    <xf numFmtId="0" fontId="16" fillId="3" borderId="0" xfId="0" applyFont="1" applyFill="1" applyAlignment="1">
      <alignment horizontal="center"/>
    </xf>
    <xf numFmtId="0" fontId="16" fillId="3" borderId="22" xfId="0" applyFont="1" applyFill="1" applyBorder="1" applyAlignment="1">
      <alignment horizontal="center"/>
    </xf>
    <xf numFmtId="0" fontId="0" fillId="3" borderId="2" xfId="0" applyFill="1" applyBorder="1" applyAlignment="1">
      <alignment horizontal="left" indent="2"/>
    </xf>
    <xf numFmtId="167" fontId="0" fillId="3" borderId="22" xfId="0" applyNumberFormat="1" applyFill="1" applyBorder="1"/>
    <xf numFmtId="167" fontId="17" fillId="3" borderId="0" xfId="0" applyNumberFormat="1" applyFont="1" applyFill="1"/>
    <xf numFmtId="167" fontId="15" fillId="3" borderId="22" xfId="0" applyNumberFormat="1" applyFont="1" applyFill="1" applyBorder="1"/>
    <xf numFmtId="0" fontId="16" fillId="3" borderId="0" xfId="0" applyFont="1" applyFill="1"/>
    <xf numFmtId="0" fontId="21" fillId="3" borderId="0" xfId="0" applyFont="1" applyFill="1" applyAlignment="1">
      <alignment horizontal="right" vertical="center"/>
    </xf>
    <xf numFmtId="0" fontId="21" fillId="3" borderId="0" xfId="0" applyFont="1" applyFill="1"/>
    <xf numFmtId="0" fontId="21" fillId="2" borderId="25" xfId="0" applyFont="1" applyFill="1" applyBorder="1" applyProtection="1">
      <protection locked="0"/>
    </xf>
    <xf numFmtId="0" fontId="7" fillId="3" borderId="0" xfId="0" applyFont="1" applyFill="1" applyAlignment="1">
      <alignment horizontal="left" vertical="center"/>
    </xf>
    <xf numFmtId="0" fontId="16" fillId="3" borderId="0" xfId="0" applyFont="1" applyFill="1" applyAlignment="1">
      <alignment horizontal="right" vertical="center"/>
    </xf>
    <xf numFmtId="0" fontId="23" fillId="3" borderId="0" xfId="0" applyFont="1" applyFill="1"/>
    <xf numFmtId="0" fontId="7" fillId="3" borderId="2" xfId="0" applyFont="1" applyFill="1" applyBorder="1"/>
    <xf numFmtId="0" fontId="27" fillId="3" borderId="0" xfId="1" applyFont="1" applyFill="1"/>
    <xf numFmtId="0" fontId="29" fillId="3" borderId="0" xfId="1" applyFont="1" applyFill="1"/>
    <xf numFmtId="0" fontId="25" fillId="3" borderId="0" xfId="1" applyFont="1" applyFill="1" applyAlignment="1">
      <alignment vertical="center"/>
    </xf>
    <xf numFmtId="0" fontId="6" fillId="3" borderId="0" xfId="1" applyFont="1" applyFill="1"/>
    <xf numFmtId="0" fontId="30" fillId="3" borderId="0" xfId="1" applyFont="1" applyFill="1"/>
    <xf numFmtId="0" fontId="31" fillId="3" borderId="0" xfId="1" applyFont="1" applyFill="1"/>
    <xf numFmtId="0" fontId="26" fillId="3" borderId="0" xfId="1" applyFont="1" applyFill="1" applyAlignment="1">
      <alignment vertical="center"/>
    </xf>
    <xf numFmtId="0" fontId="20" fillId="3" borderId="0" xfId="0" applyFont="1" applyFill="1"/>
    <xf numFmtId="0" fontId="19" fillId="3" borderId="0" xfId="1" applyFont="1" applyFill="1"/>
    <xf numFmtId="0" fontId="18" fillId="3" borderId="0" xfId="1" applyFont="1" applyFill="1"/>
    <xf numFmtId="0" fontId="4" fillId="3" borderId="0" xfId="1" applyFont="1" applyFill="1"/>
    <xf numFmtId="0" fontId="17" fillId="3" borderId="0" xfId="0" applyFont="1" applyFill="1" applyAlignment="1">
      <alignment vertical="center"/>
    </xf>
    <xf numFmtId="0" fontId="26" fillId="3" borderId="0" xfId="1" applyFont="1" applyFill="1" applyAlignment="1">
      <alignment vertical="center" wrapText="1"/>
    </xf>
    <xf numFmtId="0" fontId="33" fillId="3" borderId="0" xfId="1" applyFont="1" applyFill="1" applyAlignment="1">
      <alignment wrapText="1"/>
    </xf>
    <xf numFmtId="0" fontId="33" fillId="3" borderId="0" xfId="1" applyFont="1" applyFill="1"/>
    <xf numFmtId="0" fontId="34" fillId="3" borderId="0" xfId="0" applyFont="1" applyFill="1"/>
    <xf numFmtId="0" fontId="17" fillId="3" borderId="0" xfId="0" applyFont="1" applyFill="1"/>
    <xf numFmtId="0" fontId="35" fillId="3" borderId="0" xfId="0" applyFont="1" applyFill="1"/>
    <xf numFmtId="0" fontId="15" fillId="3" borderId="0" xfId="0" applyFont="1" applyFill="1" applyAlignment="1">
      <alignment horizontal="right"/>
    </xf>
    <xf numFmtId="0" fontId="37" fillId="3" borderId="0" xfId="0" applyFont="1" applyFill="1"/>
    <xf numFmtId="166" fontId="37" fillId="3" borderId="0" xfId="0" applyNumberFormat="1" applyFont="1" applyFill="1"/>
    <xf numFmtId="166" fontId="38" fillId="3" borderId="0" xfId="0" applyNumberFormat="1" applyFont="1" applyFill="1"/>
    <xf numFmtId="0" fontId="7" fillId="3" borderId="2" xfId="0" applyFont="1" applyFill="1" applyBorder="1" applyAlignment="1">
      <alignment horizontal="left" indent="2"/>
    </xf>
    <xf numFmtId="0" fontId="39" fillId="3" borderId="0" xfId="1" applyFont="1" applyFill="1"/>
    <xf numFmtId="0" fontId="41" fillId="3" borderId="0" xfId="0" applyFont="1" applyFill="1"/>
    <xf numFmtId="0" fontId="22" fillId="3" borderId="0" xfId="0" applyFont="1" applyFill="1"/>
    <xf numFmtId="0" fontId="14" fillId="3" borderId="0" xfId="0" applyFont="1" applyFill="1" applyAlignment="1">
      <alignment vertical="center" wrapText="1"/>
    </xf>
    <xf numFmtId="0" fontId="0" fillId="5" borderId="0" xfId="0" applyFill="1" applyProtection="1">
      <protection locked="0"/>
    </xf>
    <xf numFmtId="0" fontId="0" fillId="9" borderId="0" xfId="0" applyFill="1" applyProtection="1">
      <protection locked="0"/>
    </xf>
    <xf numFmtId="0" fontId="0" fillId="10" borderId="0" xfId="0" applyFill="1" applyProtection="1">
      <protection locked="0"/>
    </xf>
    <xf numFmtId="0" fontId="0" fillId="0" borderId="0" xfId="0" applyProtection="1">
      <protection locked="0"/>
    </xf>
    <xf numFmtId="2" fontId="0" fillId="9" borderId="0" xfId="0" applyNumberFormat="1" applyFill="1" applyProtection="1">
      <protection locked="0"/>
    </xf>
    <xf numFmtId="170" fontId="0" fillId="9" borderId="0" xfId="0" applyNumberFormat="1" applyFill="1" applyProtection="1">
      <protection locked="0"/>
    </xf>
    <xf numFmtId="0" fontId="0" fillId="6" borderId="0" xfId="0" applyFill="1" applyProtection="1">
      <protection locked="0"/>
    </xf>
    <xf numFmtId="0" fontId="0" fillId="8" borderId="0" xfId="0" applyFill="1" applyProtection="1">
      <protection locked="0"/>
    </xf>
    <xf numFmtId="0" fontId="0" fillId="13" borderId="0" xfId="0" applyFill="1" applyProtection="1">
      <protection locked="0"/>
    </xf>
    <xf numFmtId="0" fontId="0" fillId="4" borderId="0" xfId="0" applyFill="1" applyProtection="1">
      <protection locked="0"/>
    </xf>
    <xf numFmtId="166" fontId="0" fillId="4" borderId="0" xfId="0" applyNumberFormat="1" applyFill="1" applyProtection="1">
      <protection locked="0"/>
    </xf>
    <xf numFmtId="0" fontId="0" fillId="7" borderId="0" xfId="0" applyFill="1" applyProtection="1">
      <protection locked="0"/>
    </xf>
    <xf numFmtId="0" fontId="0" fillId="11" borderId="0" xfId="0" applyFill="1" applyProtection="1">
      <protection locked="0"/>
    </xf>
    <xf numFmtId="0" fontId="0" fillId="14" borderId="0" xfId="0" applyFill="1" applyProtection="1">
      <protection locked="0"/>
    </xf>
    <xf numFmtId="0" fontId="0" fillId="12" borderId="0" xfId="0" applyFill="1" applyProtection="1">
      <protection locked="0"/>
    </xf>
    <xf numFmtId="169" fontId="0" fillId="11" borderId="0" xfId="0" applyNumberFormat="1" applyFill="1" applyProtection="1">
      <protection locked="0"/>
    </xf>
    <xf numFmtId="0" fontId="0" fillId="15" borderId="0" xfId="0" applyFill="1" applyProtection="1">
      <protection locked="0"/>
    </xf>
    <xf numFmtId="0" fontId="0" fillId="16" borderId="0" xfId="0" applyFill="1" applyProtection="1">
      <protection locked="0"/>
    </xf>
    <xf numFmtId="0" fontId="42" fillId="3" borderId="0" xfId="0" applyFont="1" applyFill="1" applyAlignment="1">
      <alignment horizontal="left"/>
    </xf>
    <xf numFmtId="0" fontId="43" fillId="3" borderId="0" xfId="0" applyFont="1" applyFill="1" applyAlignment="1">
      <alignment horizontal="left"/>
    </xf>
    <xf numFmtId="167" fontId="0" fillId="3" borderId="16" xfId="0" applyNumberFormat="1" applyFill="1" applyBorder="1"/>
    <xf numFmtId="167" fontId="7" fillId="3" borderId="16" xfId="0" applyNumberFormat="1" applyFont="1" applyFill="1" applyBorder="1"/>
    <xf numFmtId="167" fontId="15" fillId="3" borderId="16" xfId="0" applyNumberFormat="1" applyFont="1" applyFill="1" applyBorder="1"/>
    <xf numFmtId="167" fontId="0" fillId="3" borderId="19" xfId="0" applyNumberFormat="1" applyFill="1" applyBorder="1"/>
    <xf numFmtId="167" fontId="7" fillId="3" borderId="19" xfId="0" applyNumberFormat="1" applyFont="1" applyFill="1" applyBorder="1"/>
    <xf numFmtId="0" fontId="0" fillId="3" borderId="19" xfId="0" applyFill="1" applyBorder="1"/>
    <xf numFmtId="167" fontId="15" fillId="3" borderId="0" xfId="0" applyNumberFormat="1" applyFont="1" applyFill="1"/>
    <xf numFmtId="167" fontId="17" fillId="3" borderId="22" xfId="0" applyNumberFormat="1" applyFont="1" applyFill="1" applyBorder="1"/>
    <xf numFmtId="167" fontId="1" fillId="3" borderId="22" xfId="0" applyNumberFormat="1" applyFont="1" applyFill="1" applyBorder="1"/>
    <xf numFmtId="0" fontId="0" fillId="4" borderId="2" xfId="0" applyFill="1" applyBorder="1" applyAlignment="1">
      <alignment horizontal="left" indent="3"/>
    </xf>
    <xf numFmtId="167" fontId="0" fillId="4" borderId="16" xfId="0" applyNumberFormat="1" applyFill="1" applyBorder="1"/>
    <xf numFmtId="167" fontId="7" fillId="4" borderId="16" xfId="0" applyNumberFormat="1" applyFont="1" applyFill="1" applyBorder="1"/>
    <xf numFmtId="0" fontId="15" fillId="4" borderId="2" xfId="0" applyFont="1" applyFill="1" applyBorder="1" applyAlignment="1">
      <alignment horizontal="left"/>
    </xf>
    <xf numFmtId="167" fontId="15" fillId="4" borderId="16" xfId="0" applyNumberFormat="1" applyFont="1" applyFill="1" applyBorder="1"/>
    <xf numFmtId="0" fontId="15" fillId="4" borderId="17" xfId="0" applyFont="1" applyFill="1" applyBorder="1"/>
    <xf numFmtId="0" fontId="0" fillId="4" borderId="2" xfId="0" applyFill="1" applyBorder="1"/>
    <xf numFmtId="167" fontId="0" fillId="3" borderId="16" xfId="0" applyNumberFormat="1" applyFill="1" applyBorder="1" applyAlignment="1">
      <alignment horizontal="center"/>
    </xf>
    <xf numFmtId="167" fontId="15" fillId="3" borderId="16" xfId="0" applyNumberFormat="1" applyFont="1" applyFill="1" applyBorder="1" applyAlignment="1">
      <alignment horizontal="center"/>
    </xf>
    <xf numFmtId="167" fontId="0" fillId="3" borderId="19" xfId="0" applyNumberFormat="1" applyFill="1" applyBorder="1" applyAlignment="1">
      <alignment horizontal="center"/>
    </xf>
    <xf numFmtId="167" fontId="7" fillId="4" borderId="15" xfId="0" applyNumberFormat="1" applyFont="1" applyFill="1" applyBorder="1" applyAlignment="1">
      <alignment horizontal="center"/>
    </xf>
    <xf numFmtId="167" fontId="0" fillId="4" borderId="16" xfId="0" applyNumberFormat="1" applyFill="1" applyBorder="1" applyAlignment="1">
      <alignment horizontal="center"/>
    </xf>
    <xf numFmtId="0" fontId="0" fillId="4" borderId="2" xfId="0" applyFill="1" applyBorder="1" applyAlignment="1">
      <alignment horizontal="left"/>
    </xf>
    <xf numFmtId="0" fontId="0" fillId="4" borderId="18" xfId="0" applyFill="1" applyBorder="1"/>
    <xf numFmtId="167" fontId="0" fillId="4" borderId="19" xfId="0" applyNumberFormat="1" applyFill="1" applyBorder="1"/>
    <xf numFmtId="167" fontId="7" fillId="4" borderId="19" xfId="0" applyNumberFormat="1" applyFont="1" applyFill="1" applyBorder="1"/>
    <xf numFmtId="0" fontId="7" fillId="3" borderId="16" xfId="0" applyFont="1" applyFill="1" applyBorder="1"/>
    <xf numFmtId="0" fontId="0" fillId="3" borderId="1" xfId="0" applyFill="1" applyBorder="1"/>
    <xf numFmtId="0" fontId="0" fillId="3" borderId="16" xfId="0" applyFill="1" applyBorder="1"/>
    <xf numFmtId="0" fontId="0" fillId="3" borderId="0" xfId="0" applyFill="1" applyAlignment="1">
      <alignment horizontal="left" indent="4"/>
    </xf>
    <xf numFmtId="0" fontId="0" fillId="4" borderId="16" xfId="0" applyFill="1" applyBorder="1"/>
    <xf numFmtId="0" fontId="7" fillId="4" borderId="16" xfId="0" applyFont="1" applyFill="1" applyBorder="1" applyAlignment="1">
      <alignment horizontal="center"/>
    </xf>
    <xf numFmtId="0" fontId="7" fillId="4" borderId="16" xfId="0" applyFont="1" applyFill="1" applyBorder="1"/>
    <xf numFmtId="0" fontId="0" fillId="4" borderId="15" xfId="0" applyFill="1" applyBorder="1"/>
    <xf numFmtId="0" fontId="7" fillId="4" borderId="15" xfId="0" applyFont="1" applyFill="1" applyBorder="1" applyAlignment="1">
      <alignment horizontal="center"/>
    </xf>
    <xf numFmtId="0" fontId="7" fillId="4" borderId="2" xfId="0" applyFont="1" applyFill="1" applyBorder="1"/>
    <xf numFmtId="166" fontId="21" fillId="11" borderId="0" xfId="0" applyNumberFormat="1" applyFont="1" applyFill="1"/>
    <xf numFmtId="0" fontId="0" fillId="4" borderId="2" xfId="0" applyFill="1" applyBorder="1" applyAlignment="1">
      <alignment horizontal="center"/>
    </xf>
    <xf numFmtId="0" fontId="7" fillId="4" borderId="0" xfId="0" applyFont="1" applyFill="1" applyAlignment="1">
      <alignment horizontal="center"/>
    </xf>
    <xf numFmtId="0" fontId="0" fillId="4" borderId="0" xfId="0" applyFill="1" applyAlignment="1">
      <alignment horizontal="center"/>
    </xf>
    <xf numFmtId="0" fontId="7" fillId="4" borderId="22" xfId="0" applyFont="1" applyFill="1" applyBorder="1" applyAlignment="1">
      <alignment horizontal="center"/>
    </xf>
    <xf numFmtId="0" fontId="0" fillId="4" borderId="2" xfId="0" applyFill="1" applyBorder="1" applyAlignment="1">
      <alignment horizontal="left" indent="4"/>
    </xf>
    <xf numFmtId="167" fontId="0" fillId="4" borderId="0" xfId="0" applyNumberFormat="1" applyFill="1"/>
    <xf numFmtId="167" fontId="0" fillId="4" borderId="22" xfId="0" applyNumberFormat="1" applyFill="1" applyBorder="1"/>
    <xf numFmtId="0" fontId="15" fillId="4" borderId="2" xfId="0" applyFont="1" applyFill="1" applyBorder="1"/>
    <xf numFmtId="167" fontId="15" fillId="4" borderId="22" xfId="0" applyNumberFormat="1" applyFont="1" applyFill="1" applyBorder="1"/>
    <xf numFmtId="167" fontId="15" fillId="4" borderId="0" xfId="0" applyNumberFormat="1" applyFont="1" applyFill="1"/>
    <xf numFmtId="167" fontId="1" fillId="4" borderId="22" xfId="0" applyNumberFormat="1" applyFont="1" applyFill="1" applyBorder="1"/>
    <xf numFmtId="0" fontId="0" fillId="4" borderId="22" xfId="0" applyFill="1" applyBorder="1" applyAlignment="1">
      <alignment horizontal="center"/>
    </xf>
    <xf numFmtId="0" fontId="7" fillId="4" borderId="2" xfId="0" applyFont="1" applyFill="1" applyBorder="1" applyAlignment="1">
      <alignment horizontal="left" indent="2"/>
    </xf>
    <xf numFmtId="0" fontId="0" fillId="4" borderId="2" xfId="0" applyFill="1" applyBorder="1" applyAlignment="1">
      <alignment horizontal="left" indent="2"/>
    </xf>
    <xf numFmtId="167" fontId="17" fillId="4" borderId="0" xfId="0" applyNumberFormat="1" applyFont="1" applyFill="1"/>
    <xf numFmtId="0" fontId="0" fillId="4" borderId="0" xfId="0" applyFill="1" applyAlignment="1">
      <alignment horizontal="left" indent="4"/>
    </xf>
    <xf numFmtId="0" fontId="15" fillId="4" borderId="0" xfId="0" applyFont="1" applyFill="1"/>
    <xf numFmtId="0" fontId="15" fillId="4" borderId="0" xfId="0" applyFont="1" applyFill="1" applyAlignment="1">
      <alignment horizontal="left"/>
    </xf>
    <xf numFmtId="0" fontId="0" fillId="4" borderId="0" xfId="0" applyFill="1" applyAlignment="1">
      <alignment horizontal="left"/>
    </xf>
    <xf numFmtId="0" fontId="0" fillId="4" borderId="0" xfId="0" applyFill="1"/>
    <xf numFmtId="0" fontId="0" fillId="4" borderId="22" xfId="0" applyFill="1" applyBorder="1"/>
    <xf numFmtId="169" fontId="7" fillId="17" borderId="27" xfId="0" applyNumberFormat="1" applyFont="1" applyFill="1" applyBorder="1" applyAlignment="1">
      <alignment horizontal="center"/>
    </xf>
    <xf numFmtId="168" fontId="7" fillId="17" borderId="27" xfId="0" applyNumberFormat="1" applyFont="1" applyFill="1" applyBorder="1" applyAlignment="1">
      <alignment horizontal="center"/>
    </xf>
    <xf numFmtId="0" fontId="0" fillId="18" borderId="0" xfId="0" applyFill="1" applyProtection="1">
      <protection locked="0"/>
    </xf>
    <xf numFmtId="0" fontId="0" fillId="19" borderId="0" xfId="0" applyFill="1" applyProtection="1">
      <protection locked="0"/>
    </xf>
    <xf numFmtId="166" fontId="0" fillId="19" borderId="0" xfId="2" applyFont="1" applyFill="1" applyProtection="1">
      <protection locked="0"/>
    </xf>
    <xf numFmtId="171" fontId="0" fillId="19" borderId="0" xfId="2" applyNumberFormat="1" applyFont="1" applyFill="1" applyProtection="1">
      <protection locked="0"/>
    </xf>
    <xf numFmtId="0" fontId="0" fillId="3" borderId="0" xfId="0" applyFill="1" applyProtection="1">
      <protection locked="0"/>
    </xf>
    <xf numFmtId="166" fontId="0" fillId="3" borderId="0" xfId="0" applyNumberFormat="1" applyFill="1" applyProtection="1">
      <protection locked="0"/>
    </xf>
    <xf numFmtId="0" fontId="15" fillId="3" borderId="0" xfId="0" applyFont="1" applyFill="1" applyProtection="1">
      <protection locked="0"/>
    </xf>
    <xf numFmtId="0" fontId="0" fillId="21" borderId="0" xfId="0" applyFill="1" applyProtection="1">
      <protection locked="0"/>
    </xf>
    <xf numFmtId="17" fontId="0" fillId="0" borderId="0" xfId="0" applyNumberFormat="1" applyProtection="1">
      <protection locked="0"/>
    </xf>
    <xf numFmtId="1" fontId="0" fillId="0" borderId="0" xfId="0" applyNumberFormat="1" applyProtection="1">
      <protection locked="0"/>
    </xf>
    <xf numFmtId="0" fontId="0" fillId="23" borderId="0" xfId="0" applyFill="1" applyProtection="1">
      <protection locked="0"/>
    </xf>
    <xf numFmtId="172" fontId="44" fillId="3" borderId="0" xfId="0" applyNumberFormat="1" applyFont="1" applyFill="1" applyAlignment="1">
      <alignment horizontal="left" vertical="top"/>
    </xf>
    <xf numFmtId="173" fontId="27" fillId="3" borderId="0" xfId="1" applyNumberFormat="1" applyFont="1" applyFill="1"/>
    <xf numFmtId="173" fontId="0" fillId="3" borderId="0" xfId="0" applyNumberFormat="1" applyFill="1" applyAlignment="1">
      <alignment vertical="center"/>
    </xf>
    <xf numFmtId="173" fontId="29" fillId="3" borderId="0" xfId="1" applyNumberFormat="1" applyFont="1" applyFill="1" applyAlignment="1">
      <alignment vertical="center"/>
    </xf>
    <xf numFmtId="173" fontId="39" fillId="3" borderId="0" xfId="1" applyNumberFormat="1" applyFont="1" applyFill="1" applyAlignment="1">
      <alignment vertical="center"/>
    </xf>
    <xf numFmtId="173" fontId="40" fillId="3" borderId="0" xfId="1" applyNumberFormat="1" applyFont="1" applyFill="1" applyAlignment="1">
      <alignment horizontal="left" vertical="center"/>
    </xf>
    <xf numFmtId="173" fontId="40" fillId="3" borderId="0" xfId="1" applyNumberFormat="1" applyFont="1" applyFill="1" applyAlignment="1">
      <alignment vertical="center"/>
    </xf>
    <xf numFmtId="173" fontId="27" fillId="3" borderId="0" xfId="1" applyNumberFormat="1" applyFont="1" applyFill="1" applyAlignment="1">
      <alignment vertical="center"/>
    </xf>
    <xf numFmtId="173" fontId="16" fillId="3" borderId="0" xfId="0" applyNumberFormat="1" applyFont="1" applyFill="1" applyAlignment="1">
      <alignment vertical="center"/>
    </xf>
    <xf numFmtId="169" fontId="7" fillId="17" borderId="27" xfId="0" applyNumberFormat="1" applyFont="1" applyFill="1" applyBorder="1" applyAlignment="1">
      <alignment horizontal="center" vertical="center"/>
    </xf>
    <xf numFmtId="0" fontId="46" fillId="3" borderId="0" xfId="0" applyFont="1" applyFill="1" applyAlignment="1">
      <alignment vertical="center"/>
    </xf>
    <xf numFmtId="0" fontId="46" fillId="3" borderId="0" xfId="0" applyFont="1" applyFill="1"/>
    <xf numFmtId="0" fontId="7" fillId="0" borderId="0" xfId="0" applyFont="1" applyProtection="1">
      <protection locked="0"/>
    </xf>
    <xf numFmtId="0" fontId="7" fillId="4" borderId="18" xfId="0" applyFont="1" applyFill="1" applyBorder="1"/>
    <xf numFmtId="167" fontId="15" fillId="4" borderId="19" xfId="0" applyNumberFormat="1" applyFont="1" applyFill="1" applyBorder="1"/>
    <xf numFmtId="0" fontId="15" fillId="4" borderId="18" xfId="0" applyFont="1" applyFill="1" applyBorder="1"/>
    <xf numFmtId="2" fontId="0" fillId="0" borderId="0" xfId="0" applyNumberFormat="1" applyProtection="1">
      <protection locked="0"/>
    </xf>
    <xf numFmtId="2" fontId="0" fillId="22" borderId="0" xfId="0" applyNumberFormat="1" applyFill="1" applyProtection="1">
      <protection locked="0"/>
    </xf>
    <xf numFmtId="167" fontId="0" fillId="3" borderId="22" xfId="2" applyNumberFormat="1" applyFont="1" applyFill="1" applyBorder="1"/>
    <xf numFmtId="0" fontId="0" fillId="11" borderId="0" xfId="0" applyFill="1"/>
    <xf numFmtId="0" fontId="16" fillId="11" borderId="0" xfId="0" applyFont="1" applyFill="1" applyAlignment="1">
      <alignment horizontal="right"/>
    </xf>
    <xf numFmtId="167" fontId="7" fillId="3" borderId="17" xfId="0" applyNumberFormat="1" applyFont="1" applyFill="1" applyBorder="1" applyAlignment="1">
      <alignment horizontal="center"/>
    </xf>
    <xf numFmtId="167" fontId="7" fillId="3" borderId="21" xfId="0" applyNumberFormat="1" applyFont="1" applyFill="1" applyBorder="1" applyAlignment="1">
      <alignment horizontal="center"/>
    </xf>
    <xf numFmtId="167" fontId="7" fillId="3" borderId="15" xfId="0" applyNumberFormat="1" applyFont="1" applyFill="1" applyBorder="1" applyAlignment="1">
      <alignment horizontal="center"/>
    </xf>
    <xf numFmtId="166" fontId="16" fillId="3" borderId="0" xfId="2" applyFont="1" applyFill="1" applyAlignment="1"/>
    <xf numFmtId="0" fontId="0" fillId="25" borderId="1" xfId="0" applyFill="1" applyBorder="1" applyAlignment="1">
      <alignment horizontal="center"/>
    </xf>
    <xf numFmtId="0" fontId="0" fillId="25" borderId="2" xfId="0" applyFill="1" applyBorder="1" applyAlignment="1">
      <alignment horizontal="left"/>
    </xf>
    <xf numFmtId="167" fontId="0" fillId="25" borderId="22" xfId="2" applyNumberFormat="1" applyFont="1" applyFill="1" applyBorder="1"/>
    <xf numFmtId="167" fontId="0" fillId="25" borderId="16" xfId="2" applyNumberFormat="1" applyFont="1" applyFill="1" applyBorder="1" applyAlignment="1">
      <alignment horizontal="center"/>
    </xf>
    <xf numFmtId="0" fontId="7" fillId="25" borderId="1" xfId="0" applyFont="1" applyFill="1" applyBorder="1"/>
    <xf numFmtId="167" fontId="7" fillId="25" borderId="1" xfId="2" applyNumberFormat="1" applyFont="1" applyFill="1" applyBorder="1"/>
    <xf numFmtId="167" fontId="7" fillId="25" borderId="1" xfId="2" applyNumberFormat="1" applyFont="1" applyFill="1" applyBorder="1" applyAlignment="1">
      <alignment horizontal="center"/>
    </xf>
    <xf numFmtId="0" fontId="28" fillId="3" borderId="0" xfId="0" applyFont="1" applyFill="1"/>
    <xf numFmtId="4" fontId="7" fillId="25" borderId="1" xfId="0" applyNumberFormat="1" applyFont="1" applyFill="1" applyBorder="1"/>
    <xf numFmtId="0" fontId="16" fillId="3" borderId="20" xfId="0" applyFont="1" applyFill="1" applyBorder="1" applyAlignment="1">
      <alignment horizontal="center"/>
    </xf>
    <xf numFmtId="0" fontId="16" fillId="3" borderId="2" xfId="0" applyFont="1" applyFill="1" applyBorder="1"/>
    <xf numFmtId="0" fontId="0" fillId="3" borderId="20" xfId="0" applyFill="1" applyBorder="1"/>
    <xf numFmtId="0" fontId="16" fillId="3" borderId="23" xfId="0" applyFont="1" applyFill="1" applyBorder="1"/>
    <xf numFmtId="0" fontId="7" fillId="3" borderId="0" xfId="0" applyFont="1" applyFill="1" applyAlignment="1">
      <alignment vertical="center"/>
    </xf>
    <xf numFmtId="0" fontId="0" fillId="3" borderId="23" xfId="0" applyFill="1" applyBorder="1" applyAlignment="1">
      <alignment vertical="center"/>
    </xf>
    <xf numFmtId="0" fontId="0" fillId="3" borderId="20" xfId="0" applyFill="1" applyBorder="1" applyAlignment="1">
      <alignment vertical="center"/>
    </xf>
    <xf numFmtId="0" fontId="16" fillId="3" borderId="23" xfId="0" applyFont="1" applyFill="1" applyBorder="1" applyAlignment="1">
      <alignment vertical="center"/>
    </xf>
    <xf numFmtId="0" fontId="16" fillId="3" borderId="0" xfId="0" applyFont="1" applyFill="1" applyAlignment="1">
      <alignment vertical="center"/>
    </xf>
    <xf numFmtId="167" fontId="7" fillId="3" borderId="16" xfId="0" applyNumberFormat="1" applyFont="1" applyFill="1" applyBorder="1" applyAlignment="1">
      <alignment horizontal="center" vertical="center"/>
    </xf>
    <xf numFmtId="167" fontId="0" fillId="3" borderId="16" xfId="2" applyNumberFormat="1" applyFont="1" applyFill="1" applyBorder="1" applyAlignment="1">
      <alignment vertical="center"/>
    </xf>
    <xf numFmtId="0" fontId="0" fillId="25" borderId="17" xfId="0" applyFill="1" applyBorder="1"/>
    <xf numFmtId="0" fontId="0" fillId="25" borderId="20" xfId="0" applyFill="1" applyBorder="1"/>
    <xf numFmtId="0" fontId="7" fillId="25" borderId="15" xfId="0" applyFont="1" applyFill="1" applyBorder="1" applyAlignment="1">
      <alignment horizontal="center"/>
    </xf>
    <xf numFmtId="0" fontId="0" fillId="25" borderId="2" xfId="0" applyFill="1" applyBorder="1"/>
    <xf numFmtId="0" fontId="7" fillId="25" borderId="0" xfId="0" applyFont="1" applyFill="1" applyAlignment="1">
      <alignment vertical="center"/>
    </xf>
    <xf numFmtId="0" fontId="0" fillId="25" borderId="18" xfId="0" applyFill="1" applyBorder="1"/>
    <xf numFmtId="0" fontId="16" fillId="25" borderId="17" xfId="0" applyFont="1" applyFill="1" applyBorder="1"/>
    <xf numFmtId="0" fontId="16" fillId="25" borderId="20" xfId="0" applyFont="1" applyFill="1" applyBorder="1" applyAlignment="1">
      <alignment vertical="center"/>
    </xf>
    <xf numFmtId="0" fontId="7" fillId="25" borderId="15" xfId="0" applyFont="1" applyFill="1" applyBorder="1" applyAlignment="1">
      <alignment horizontal="center" vertical="center"/>
    </xf>
    <xf numFmtId="167" fontId="0" fillId="25" borderId="16" xfId="2" applyNumberFormat="1" applyFont="1" applyFill="1" applyBorder="1" applyAlignment="1">
      <alignment vertical="center"/>
    </xf>
    <xf numFmtId="167" fontId="7" fillId="25" borderId="16" xfId="2" applyNumberFormat="1" applyFont="1" applyFill="1" applyBorder="1" applyAlignment="1">
      <alignment vertical="center"/>
    </xf>
    <xf numFmtId="167" fontId="7" fillId="3" borderId="16" xfId="2" applyNumberFormat="1" applyFont="1" applyFill="1" applyBorder="1" applyAlignment="1">
      <alignment vertical="center"/>
    </xf>
    <xf numFmtId="0" fontId="11" fillId="3" borderId="0" xfId="0" applyFont="1" applyFill="1" applyAlignment="1">
      <alignment wrapText="1"/>
    </xf>
    <xf numFmtId="2" fontId="37" fillId="3" borderId="0" xfId="0" applyNumberFormat="1" applyFont="1" applyFill="1"/>
    <xf numFmtId="0" fontId="11" fillId="3" borderId="0" xfId="0" applyFont="1" applyFill="1" applyAlignment="1">
      <alignment vertical="center" wrapText="1"/>
    </xf>
    <xf numFmtId="0" fontId="1" fillId="10" borderId="0" xfId="0" applyFont="1" applyFill="1" applyProtection="1">
      <protection locked="0"/>
    </xf>
    <xf numFmtId="0" fontId="21" fillId="3" borderId="0" xfId="0" applyFont="1" applyFill="1" applyAlignment="1">
      <alignment horizontal="right"/>
    </xf>
    <xf numFmtId="0" fontId="47" fillId="3" borderId="0" xfId="0" applyFont="1" applyFill="1" applyAlignment="1">
      <alignment horizontal="left"/>
    </xf>
    <xf numFmtId="0" fontId="47" fillId="3" borderId="0" xfId="0" applyFont="1" applyFill="1"/>
    <xf numFmtId="0" fontId="32" fillId="3" borderId="0" xfId="1" applyFont="1" applyFill="1" applyAlignment="1">
      <alignment vertical="center"/>
    </xf>
    <xf numFmtId="173" fontId="6" fillId="3" borderId="0" xfId="1" applyNumberFormat="1" applyFont="1" applyFill="1" applyAlignment="1">
      <alignment horizontal="center"/>
    </xf>
    <xf numFmtId="0" fontId="6" fillId="3" borderId="0" xfId="1" applyFont="1" applyFill="1" applyAlignment="1">
      <alignment horizontal="center"/>
    </xf>
    <xf numFmtId="173" fontId="4" fillId="3" borderId="0" xfId="1" applyNumberFormat="1" applyFont="1" applyFill="1" applyAlignment="1">
      <alignment horizontal="center"/>
    </xf>
    <xf numFmtId="0" fontId="4" fillId="3" borderId="0" xfId="1" applyFont="1" applyFill="1" applyAlignment="1">
      <alignment horizontal="center"/>
    </xf>
    <xf numFmtId="173" fontId="0" fillId="3" borderId="0" xfId="0" applyNumberFormat="1" applyFill="1" applyAlignment="1">
      <alignment horizontal="center"/>
    </xf>
    <xf numFmtId="0" fontId="32" fillId="3" borderId="0" xfId="1" applyFont="1" applyFill="1" applyAlignment="1">
      <alignment horizontal="center" vertical="center"/>
    </xf>
    <xf numFmtId="173" fontId="20" fillId="2" borderId="25" xfId="0" applyNumberFormat="1" applyFont="1" applyFill="1" applyBorder="1" applyAlignment="1">
      <alignment horizontal="center"/>
    </xf>
    <xf numFmtId="0" fontId="20" fillId="3" borderId="0" xfId="0" applyFont="1" applyFill="1" applyAlignment="1">
      <alignment horizontal="center"/>
    </xf>
    <xf numFmtId="0" fontId="10" fillId="3" borderId="0" xfId="0" applyFont="1" applyFill="1" applyAlignment="1">
      <alignment wrapText="1"/>
    </xf>
    <xf numFmtId="173" fontId="5" fillId="3" borderId="0" xfId="1" applyNumberFormat="1" applyFont="1" applyFill="1" applyAlignment="1">
      <alignment horizontal="center"/>
    </xf>
    <xf numFmtId="0" fontId="25" fillId="3" borderId="0" xfId="1" applyFont="1" applyFill="1" applyAlignment="1">
      <alignment vertical="center" wrapText="1"/>
    </xf>
    <xf numFmtId="0" fontId="0" fillId="26" borderId="0" xfId="0" applyFill="1" applyProtection="1">
      <protection locked="0"/>
    </xf>
    <xf numFmtId="0" fontId="7" fillId="3" borderId="0" xfId="0" applyFont="1" applyFill="1" applyAlignment="1">
      <alignment horizontal="left" indent="2"/>
    </xf>
    <xf numFmtId="9" fontId="0" fillId="3" borderId="0" xfId="3" applyFont="1" applyFill="1"/>
    <xf numFmtId="0" fontId="7" fillId="3" borderId="0" xfId="0" applyFont="1" applyFill="1" applyAlignment="1">
      <alignment horizontal="right"/>
    </xf>
    <xf numFmtId="0" fontId="0" fillId="27" borderId="0" xfId="0" applyFill="1" applyProtection="1">
      <protection locked="0"/>
    </xf>
    <xf numFmtId="0" fontId="47" fillId="3" borderId="0" xfId="0" applyFont="1" applyFill="1" applyAlignment="1">
      <alignment horizontal="left" vertical="top"/>
    </xf>
    <xf numFmtId="0" fontId="0" fillId="27" borderId="0" xfId="0" applyFill="1" applyAlignment="1" applyProtection="1">
      <alignment horizontal="right"/>
      <protection locked="0"/>
    </xf>
    <xf numFmtId="0" fontId="0" fillId="27" borderId="0" xfId="0" applyFill="1" applyAlignment="1" applyProtection="1">
      <alignment horizontal="left"/>
      <protection locked="0"/>
    </xf>
    <xf numFmtId="0" fontId="0" fillId="0" borderId="0" xfId="0" quotePrefix="1" applyProtection="1">
      <protection locked="0"/>
    </xf>
    <xf numFmtId="0" fontId="0" fillId="27" borderId="0" xfId="0" quotePrefix="1" applyFill="1" applyProtection="1">
      <protection locked="0"/>
    </xf>
    <xf numFmtId="0" fontId="34" fillId="3" borderId="0" xfId="0" applyFont="1" applyFill="1" applyAlignment="1">
      <alignment vertical="top"/>
    </xf>
    <xf numFmtId="0" fontId="16" fillId="3" borderId="0" xfId="0" applyFont="1" applyFill="1" applyAlignment="1">
      <alignment horizontal="left" indent="4"/>
    </xf>
    <xf numFmtId="0" fontId="49" fillId="3" borderId="0" xfId="0" applyFont="1" applyFill="1"/>
    <xf numFmtId="167" fontId="0" fillId="25" borderId="22" xfId="2" applyNumberFormat="1" applyFont="1" applyFill="1" applyBorder="1" applyAlignment="1">
      <alignment horizontal="center"/>
    </xf>
    <xf numFmtId="167" fontId="7" fillId="25" borderId="29" xfId="2" applyNumberFormat="1" applyFont="1" applyFill="1" applyBorder="1"/>
    <xf numFmtId="0" fontId="7" fillId="25" borderId="23" xfId="0" applyFont="1" applyFill="1" applyBorder="1"/>
    <xf numFmtId="167" fontId="7" fillId="25" borderId="19" xfId="0" applyNumberFormat="1" applyFont="1" applyFill="1" applyBorder="1"/>
    <xf numFmtId="0" fontId="0" fillId="25" borderId="2" xfId="0" quotePrefix="1" applyFill="1" applyBorder="1" applyAlignment="1">
      <alignment horizontal="left"/>
    </xf>
    <xf numFmtId="0" fontId="0" fillId="3" borderId="2" xfId="0" quotePrefix="1" applyFill="1" applyBorder="1" applyAlignment="1">
      <alignment horizontal="left"/>
    </xf>
    <xf numFmtId="17" fontId="0" fillId="25" borderId="1" xfId="0" applyNumberFormat="1" applyFill="1" applyBorder="1" applyAlignment="1">
      <alignment horizontal="center"/>
    </xf>
    <xf numFmtId="43" fontId="0" fillId="3" borderId="0" xfId="0" applyNumberFormat="1" applyFill="1"/>
    <xf numFmtId="0" fontId="7" fillId="25" borderId="0" xfId="0" applyFont="1" applyFill="1" applyProtection="1">
      <protection locked="0"/>
    </xf>
    <xf numFmtId="0" fontId="0" fillId="25" borderId="0" xfId="0" applyFill="1" applyProtection="1">
      <protection locked="0"/>
    </xf>
    <xf numFmtId="0" fontId="1" fillId="4" borderId="2" xfId="0" applyFont="1" applyFill="1" applyBorder="1" applyAlignment="1">
      <alignment horizontal="left" indent="3"/>
    </xf>
    <xf numFmtId="167" fontId="1" fillId="4" borderId="16" xfId="0" applyNumberFormat="1" applyFont="1" applyFill="1" applyBorder="1"/>
    <xf numFmtId="167" fontId="10" fillId="4" borderId="16" xfId="0" applyNumberFormat="1" applyFont="1" applyFill="1" applyBorder="1"/>
    <xf numFmtId="0" fontId="1" fillId="3" borderId="2" xfId="0" applyFont="1" applyFill="1" applyBorder="1" applyAlignment="1">
      <alignment horizontal="left" indent="3"/>
    </xf>
    <xf numFmtId="167" fontId="1" fillId="3" borderId="16" xfId="0" applyNumberFormat="1" applyFont="1" applyFill="1" applyBorder="1"/>
    <xf numFmtId="167" fontId="10" fillId="3" borderId="16" xfId="0" applyNumberFormat="1" applyFont="1" applyFill="1" applyBorder="1"/>
    <xf numFmtId="167" fontId="0" fillId="25" borderId="2" xfId="0" quotePrefix="1" applyNumberFormat="1" applyFill="1" applyBorder="1" applyAlignment="1">
      <alignment horizontal="left"/>
    </xf>
    <xf numFmtId="167" fontId="0" fillId="3" borderId="2" xfId="0" quotePrefix="1" applyNumberFormat="1" applyFill="1" applyBorder="1" applyAlignment="1">
      <alignment horizontal="left"/>
    </xf>
    <xf numFmtId="167" fontId="0" fillId="25" borderId="2" xfId="0" applyNumberFormat="1" applyFill="1" applyBorder="1" applyAlignment="1">
      <alignment horizontal="left"/>
    </xf>
    <xf numFmtId="167" fontId="0" fillId="3" borderId="2" xfId="0" applyNumberFormat="1" applyFill="1" applyBorder="1" applyAlignment="1">
      <alignment horizontal="left"/>
    </xf>
    <xf numFmtId="167" fontId="7" fillId="25" borderId="1" xfId="0" applyNumberFormat="1" applyFont="1" applyFill="1" applyBorder="1"/>
    <xf numFmtId="167" fontId="16" fillId="3" borderId="0" xfId="0" applyNumberFormat="1" applyFont="1" applyFill="1"/>
    <xf numFmtId="167" fontId="16" fillId="3" borderId="0" xfId="2" applyNumberFormat="1" applyFont="1" applyFill="1" applyAlignment="1"/>
    <xf numFmtId="167" fontId="0" fillId="11" borderId="0" xfId="0" applyNumberFormat="1" applyFill="1"/>
    <xf numFmtId="167" fontId="16" fillId="11" borderId="0" xfId="0" applyNumberFormat="1" applyFont="1" applyFill="1" applyAlignment="1">
      <alignment horizontal="right"/>
    </xf>
    <xf numFmtId="167" fontId="0" fillId="25" borderId="1" xfId="0" applyNumberFormat="1" applyFill="1" applyBorder="1" applyAlignment="1">
      <alignment horizontal="center"/>
    </xf>
    <xf numFmtId="167" fontId="7" fillId="25" borderId="28" xfId="0" applyNumberFormat="1" applyFont="1" applyFill="1" applyBorder="1"/>
    <xf numFmtId="167" fontId="7" fillId="4" borderId="2" xfId="0" applyNumberFormat="1" applyFont="1" applyFill="1" applyBorder="1"/>
    <xf numFmtId="167" fontId="7" fillId="3" borderId="2" xfId="0" applyNumberFormat="1" applyFont="1" applyFill="1" applyBorder="1"/>
    <xf numFmtId="167" fontId="0" fillId="3" borderId="18" xfId="0" applyNumberFormat="1" applyFill="1" applyBorder="1"/>
    <xf numFmtId="167" fontId="21" fillId="11" borderId="0" xfId="0" applyNumberFormat="1" applyFont="1" applyFill="1"/>
    <xf numFmtId="167" fontId="0" fillId="4" borderId="15" xfId="0" applyNumberFormat="1" applyFill="1" applyBorder="1"/>
    <xf numFmtId="173" fontId="0" fillId="0" borderId="0" xfId="0" applyNumberFormat="1" applyProtection="1">
      <protection locked="0"/>
    </xf>
    <xf numFmtId="173" fontId="0" fillId="10" borderId="0" xfId="0" applyNumberFormat="1" applyFill="1" applyProtection="1">
      <protection locked="0"/>
    </xf>
    <xf numFmtId="173" fontId="0" fillId="25" borderId="0" xfId="0" applyNumberFormat="1" applyFill="1" applyProtection="1">
      <protection locked="0"/>
    </xf>
    <xf numFmtId="0" fontId="1" fillId="4" borderId="0" xfId="0" applyFont="1" applyFill="1" applyProtection="1">
      <protection locked="0"/>
    </xf>
    <xf numFmtId="166" fontId="1" fillId="4" borderId="0" xfId="0" applyNumberFormat="1" applyFont="1" applyFill="1" applyProtection="1">
      <protection locked="0"/>
    </xf>
    <xf numFmtId="0" fontId="35" fillId="3" borderId="0" xfId="0" applyFont="1" applyFill="1" applyAlignment="1">
      <alignment vertical="top"/>
    </xf>
    <xf numFmtId="0" fontId="54" fillId="3" borderId="0" xfId="0" applyFont="1" applyFill="1"/>
    <xf numFmtId="0" fontId="0" fillId="11" borderId="0" xfId="0" applyFill="1" applyAlignment="1" applyProtection="1">
      <alignment horizontal="center"/>
      <protection locked="0"/>
    </xf>
    <xf numFmtId="0" fontId="42" fillId="3" borderId="0" xfId="0" applyFont="1" applyFill="1" applyAlignment="1">
      <alignment wrapText="1"/>
    </xf>
    <xf numFmtId="0" fontId="46" fillId="3" borderId="0" xfId="0" applyFont="1" applyFill="1" applyAlignment="1">
      <alignment horizontal="left" vertical="center"/>
    </xf>
    <xf numFmtId="0" fontId="55" fillId="3" borderId="0" xfId="0" applyFont="1" applyFill="1"/>
    <xf numFmtId="0" fontId="43" fillId="3" borderId="0" xfId="0" applyFont="1" applyFill="1" applyAlignment="1">
      <alignment vertical="top"/>
    </xf>
    <xf numFmtId="0" fontId="42" fillId="3" borderId="0" xfId="0" applyFont="1" applyFill="1"/>
    <xf numFmtId="169" fontId="7" fillId="17" borderId="27" xfId="0" applyNumberFormat="1" applyFont="1" applyFill="1" applyBorder="1" applyAlignment="1">
      <alignment horizontal="left"/>
    </xf>
    <xf numFmtId="0" fontId="7" fillId="17" borderId="27" xfId="0" applyFont="1" applyFill="1" applyBorder="1" applyAlignment="1">
      <alignment horizontal="center"/>
    </xf>
    <xf numFmtId="0" fontId="7" fillId="11" borderId="27" xfId="0" applyFont="1" applyFill="1" applyBorder="1" applyAlignment="1">
      <alignment horizontal="center"/>
    </xf>
    <xf numFmtId="169" fontId="7" fillId="24" borderId="27" xfId="0" applyNumberFormat="1" applyFont="1" applyFill="1" applyBorder="1" applyAlignment="1">
      <alignment horizontal="center"/>
    </xf>
    <xf numFmtId="9" fontId="7" fillId="17" borderId="27" xfId="0" applyNumberFormat="1" applyFont="1" applyFill="1" applyBorder="1" applyAlignment="1">
      <alignment horizontal="center"/>
    </xf>
    <xf numFmtId="169" fontId="7" fillId="18" borderId="27" xfId="0" applyNumberFormat="1" applyFont="1" applyFill="1" applyBorder="1" applyAlignment="1">
      <alignment horizontal="center"/>
    </xf>
    <xf numFmtId="1" fontId="7" fillId="20" borderId="27" xfId="0" applyNumberFormat="1" applyFont="1" applyFill="1" applyBorder="1" applyAlignment="1">
      <alignment horizontal="center"/>
    </xf>
    <xf numFmtId="3" fontId="0" fillId="3" borderId="16" xfId="0" applyNumberFormat="1" applyFill="1" applyBorder="1" applyAlignment="1">
      <alignment horizontal="center" vertical="center"/>
    </xf>
    <xf numFmtId="3" fontId="7" fillId="3" borderId="16" xfId="0" applyNumberFormat="1" applyFont="1" applyFill="1" applyBorder="1" applyAlignment="1">
      <alignment horizontal="center" vertical="center"/>
    </xf>
    <xf numFmtId="3" fontId="0" fillId="25" borderId="16" xfId="0" applyNumberFormat="1" applyFill="1" applyBorder="1" applyAlignment="1">
      <alignment horizontal="center" vertical="center"/>
    </xf>
    <xf numFmtId="3" fontId="7" fillId="25" borderId="16" xfId="0" applyNumberFormat="1" applyFont="1" applyFill="1" applyBorder="1" applyAlignment="1">
      <alignment horizontal="center" vertical="center"/>
    </xf>
    <xf numFmtId="4" fontId="0" fillId="11" borderId="0" xfId="0" applyNumberFormat="1" applyFill="1" applyAlignment="1" applyProtection="1">
      <alignment horizontal="center"/>
      <protection locked="0"/>
    </xf>
    <xf numFmtId="0" fontId="0" fillId="28" borderId="0" xfId="0" applyFill="1" applyProtection="1">
      <protection locked="0"/>
    </xf>
    <xf numFmtId="173" fontId="56" fillId="3" borderId="0" xfId="1" applyNumberFormat="1" applyFont="1" applyFill="1"/>
    <xf numFmtId="0" fontId="24" fillId="3" borderId="0" xfId="1" applyFont="1" applyFill="1" applyAlignment="1">
      <alignment vertical="center"/>
    </xf>
    <xf numFmtId="0" fontId="45" fillId="3" borderId="0" xfId="0" applyFont="1" applyFill="1" applyAlignment="1">
      <alignment vertical="center"/>
    </xf>
    <xf numFmtId="173" fontId="32" fillId="3" borderId="0" xfId="1" applyNumberFormat="1" applyFont="1" applyFill="1" applyAlignment="1">
      <alignment vertical="center"/>
    </xf>
    <xf numFmtId="173" fontId="18" fillId="3" borderId="0" xfId="1" applyNumberFormat="1" applyFont="1" applyFill="1" applyAlignment="1">
      <alignment vertical="center"/>
    </xf>
    <xf numFmtId="173" fontId="20" fillId="2" borderId="25" xfId="0" applyNumberFormat="1" applyFont="1" applyFill="1" applyBorder="1"/>
    <xf numFmtId="0" fontId="10" fillId="3" borderId="0" xfId="0" applyFont="1" applyFill="1" applyAlignment="1">
      <alignment horizontal="center" wrapText="1"/>
    </xf>
    <xf numFmtId="173" fontId="56" fillId="3" borderId="0" xfId="1" applyNumberFormat="1" applyFont="1" applyFill="1" applyAlignment="1">
      <alignment horizontal="left" vertical="center"/>
    </xf>
    <xf numFmtId="173" fontId="5" fillId="3" borderId="0" xfId="1" applyNumberFormat="1" applyFont="1" applyFill="1"/>
    <xf numFmtId="173" fontId="56" fillId="3" borderId="0" xfId="1" applyNumberFormat="1" applyFont="1" applyFill="1" applyAlignment="1">
      <alignment vertical="center"/>
    </xf>
    <xf numFmtId="173" fontId="6" fillId="3" borderId="0" xfId="1" applyNumberFormat="1" applyFont="1" applyFill="1"/>
    <xf numFmtId="173" fontId="1" fillId="3" borderId="0" xfId="0" applyNumberFormat="1" applyFont="1" applyFill="1" applyAlignment="1">
      <alignment vertical="center"/>
    </xf>
    <xf numFmtId="173" fontId="4" fillId="3" borderId="0" xfId="1" applyNumberFormat="1" applyFont="1" applyFill="1"/>
    <xf numFmtId="173" fontId="57" fillId="3" borderId="0" xfId="0" applyNumberFormat="1" applyFont="1" applyFill="1" applyAlignment="1">
      <alignment vertical="center"/>
    </xf>
    <xf numFmtId="173" fontId="0" fillId="3" borderId="0" xfId="0" applyNumberFormat="1" applyFill="1"/>
    <xf numFmtId="0" fontId="25" fillId="3" borderId="0" xfId="1" applyFont="1" applyFill="1" applyAlignment="1">
      <alignment horizontal="left" vertical="center" wrapText="1"/>
    </xf>
    <xf numFmtId="0" fontId="14" fillId="0" borderId="1" xfId="0" applyFont="1" applyBorder="1" applyAlignment="1" applyProtection="1">
      <alignment horizontal="center"/>
      <protection locked="0"/>
    </xf>
    <xf numFmtId="0" fontId="14" fillId="3" borderId="0" xfId="0" applyFont="1" applyFill="1" applyAlignment="1">
      <alignment horizontal="center" vertical="center" wrapText="1"/>
    </xf>
    <xf numFmtId="0" fontId="50" fillId="3" borderId="0" xfId="0" applyFont="1" applyFill="1" applyAlignment="1">
      <alignment horizontal="center" vertical="center" wrapText="1"/>
    </xf>
    <xf numFmtId="0" fontId="49" fillId="3" borderId="0" xfId="0" applyFont="1" applyFill="1" applyAlignment="1">
      <alignment horizontal="left" vertical="top" wrapText="1"/>
    </xf>
    <xf numFmtId="0" fontId="8" fillId="3" borderId="0" xfId="0" applyFont="1" applyFill="1" applyAlignment="1">
      <alignment horizontal="left" vertical="top" wrapText="1"/>
    </xf>
    <xf numFmtId="0" fontId="0" fillId="2" borderId="4" xfId="0" applyFill="1"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9" fillId="3" borderId="0" xfId="0" applyFont="1" applyFill="1" applyAlignment="1">
      <alignment horizontal="left" vertical="top" wrapText="1"/>
    </xf>
    <xf numFmtId="165" fontId="0" fillId="3" borderId="26" xfId="0" applyNumberFormat="1" applyFill="1" applyBorder="1" applyAlignment="1">
      <alignment horizontal="center"/>
    </xf>
    <xf numFmtId="165" fontId="0" fillId="3" borderId="0" xfId="0" applyNumberFormat="1" applyFill="1" applyAlignment="1">
      <alignment horizontal="center"/>
    </xf>
    <xf numFmtId="165" fontId="0" fillId="3" borderId="3" xfId="0" applyNumberFormat="1" applyFill="1" applyBorder="1" applyAlignment="1">
      <alignment horizontal="center"/>
    </xf>
    <xf numFmtId="0" fontId="0" fillId="3" borderId="0" xfId="0" applyFill="1" applyAlignment="1">
      <alignment horizontal="left" vertical="center" wrapText="1"/>
    </xf>
    <xf numFmtId="0" fontId="42" fillId="3" borderId="0" xfId="0" applyFont="1" applyFill="1" applyAlignment="1">
      <alignment horizontal="left" vertical="center" wrapText="1"/>
    </xf>
    <xf numFmtId="0" fontId="0" fillId="3" borderId="0" xfId="0" applyFill="1" applyAlignment="1">
      <alignment horizontal="left" wrapText="1"/>
    </xf>
    <xf numFmtId="0" fontId="0" fillId="3" borderId="0" xfId="0" applyFill="1" applyAlignment="1">
      <alignment horizontal="left" vertical="top" wrapText="1"/>
    </xf>
    <xf numFmtId="0" fontId="42" fillId="3" borderId="0" xfId="0" applyFont="1" applyFill="1" applyAlignment="1">
      <alignment horizontal="left" wrapText="1"/>
    </xf>
    <xf numFmtId="168" fontId="0" fillId="3" borderId="26" xfId="0" applyNumberFormat="1" applyFill="1" applyBorder="1" applyAlignment="1">
      <alignment horizontal="center"/>
    </xf>
    <xf numFmtId="168" fontId="0" fillId="3" borderId="0" xfId="0" applyNumberFormat="1" applyFill="1" applyAlignment="1">
      <alignment horizontal="center"/>
    </xf>
    <xf numFmtId="168" fontId="0" fillId="3" borderId="3" xfId="0" applyNumberFormat="1" applyFill="1" applyBorder="1" applyAlignment="1">
      <alignment horizontal="center"/>
    </xf>
    <xf numFmtId="0" fontId="0" fillId="3" borderId="26" xfId="0" applyFill="1" applyBorder="1" applyAlignment="1">
      <alignment horizontal="center"/>
    </xf>
    <xf numFmtId="0" fontId="0" fillId="3" borderId="0" xfId="0" applyFill="1" applyAlignment="1">
      <alignment horizontal="center"/>
    </xf>
    <xf numFmtId="0" fontId="0" fillId="3" borderId="3" xfId="0" applyFill="1" applyBorder="1" applyAlignment="1">
      <alignment horizontal="center"/>
    </xf>
    <xf numFmtId="0" fontId="0" fillId="3" borderId="0" xfId="0" applyFill="1"/>
    <xf numFmtId="0" fontId="0" fillId="3" borderId="0" xfId="0" applyFill="1" applyAlignment="1">
      <alignment horizontal="left"/>
    </xf>
    <xf numFmtId="0" fontId="8" fillId="3" borderId="0" xfId="0" applyFont="1" applyFill="1" applyAlignment="1">
      <alignment horizontal="left"/>
    </xf>
    <xf numFmtId="164" fontId="8" fillId="3" borderId="0" xfId="0" applyNumberFormat="1" applyFont="1" applyFill="1" applyAlignment="1">
      <alignment horizontal="left"/>
    </xf>
    <xf numFmtId="0" fontId="52" fillId="11" borderId="7" xfId="0" applyFont="1" applyFill="1" applyBorder="1" applyAlignment="1">
      <alignment horizontal="center" vertical="center" wrapText="1"/>
    </xf>
    <xf numFmtId="0" fontId="52" fillId="11" borderId="8" xfId="0" applyFont="1" applyFill="1" applyBorder="1" applyAlignment="1">
      <alignment horizontal="center" vertical="center" wrapText="1"/>
    </xf>
    <xf numFmtId="0" fontId="52" fillId="11" borderId="9" xfId="0" applyFont="1" applyFill="1" applyBorder="1" applyAlignment="1">
      <alignment horizontal="center" vertical="center" wrapText="1"/>
    </xf>
    <xf numFmtId="0" fontId="52" fillId="11" borderId="10" xfId="0" applyFont="1" applyFill="1" applyBorder="1" applyAlignment="1">
      <alignment horizontal="center" vertical="center" wrapText="1"/>
    </xf>
    <xf numFmtId="0" fontId="52" fillId="11" borderId="0" xfId="0" applyFont="1" applyFill="1" applyAlignment="1">
      <alignment horizontal="center" vertical="center" wrapText="1"/>
    </xf>
    <xf numFmtId="0" fontId="52" fillId="11" borderId="11" xfId="0" applyFont="1" applyFill="1" applyBorder="1" applyAlignment="1">
      <alignment horizontal="center" vertical="center" wrapText="1"/>
    </xf>
    <xf numFmtId="0" fontId="52" fillId="11" borderId="12" xfId="0" applyFont="1" applyFill="1" applyBorder="1" applyAlignment="1">
      <alignment horizontal="center" vertical="center" wrapText="1"/>
    </xf>
    <xf numFmtId="0" fontId="52" fillId="11" borderId="13" xfId="0" applyFont="1" applyFill="1" applyBorder="1" applyAlignment="1">
      <alignment horizontal="center" vertical="center" wrapText="1"/>
    </xf>
    <xf numFmtId="0" fontId="52" fillId="11" borderId="14" xfId="0" applyFont="1" applyFill="1" applyBorder="1" applyAlignment="1">
      <alignment horizontal="center" vertical="center" wrapText="1"/>
    </xf>
    <xf numFmtId="0" fontId="1" fillId="3" borderId="0" xfId="0" applyFont="1" applyFill="1" applyAlignment="1">
      <alignment horizontal="left" vertical="top" wrapText="1"/>
    </xf>
    <xf numFmtId="0" fontId="45" fillId="11" borderId="28" xfId="0" applyFont="1" applyFill="1" applyBorder="1" applyAlignment="1">
      <alignment horizontal="center" vertical="center" wrapText="1"/>
    </xf>
    <xf numFmtId="0" fontId="45" fillId="11" borderId="30" xfId="0" applyFont="1" applyFill="1" applyBorder="1" applyAlignment="1">
      <alignment horizontal="center" vertical="center" wrapText="1"/>
    </xf>
    <xf numFmtId="0" fontId="45" fillId="11" borderId="29" xfId="0" applyFont="1" applyFill="1" applyBorder="1" applyAlignment="1">
      <alignment horizontal="center" vertical="center" wrapText="1"/>
    </xf>
    <xf numFmtId="0" fontId="16" fillId="3" borderId="0" xfId="0" applyFont="1" applyFill="1" applyAlignment="1">
      <alignment horizontal="center"/>
    </xf>
    <xf numFmtId="0" fontId="11" fillId="3" borderId="0" xfId="0" applyFont="1" applyFill="1" applyAlignment="1">
      <alignment horizontal="center"/>
    </xf>
    <xf numFmtId="0" fontId="0" fillId="3" borderId="0" xfId="0" applyFill="1" applyAlignment="1">
      <alignment wrapText="1"/>
    </xf>
    <xf numFmtId="169" fontId="0" fillId="3" borderId="0" xfId="0" applyNumberFormat="1" applyFill="1" applyAlignment="1">
      <alignment horizontal="left"/>
    </xf>
    <xf numFmtId="0" fontId="16" fillId="3" borderId="17" xfId="0" applyFont="1" applyFill="1" applyBorder="1" applyAlignment="1">
      <alignment horizontal="center"/>
    </xf>
    <xf numFmtId="0" fontId="16" fillId="3" borderId="20" xfId="0" applyFont="1" applyFill="1" applyBorder="1" applyAlignment="1">
      <alignment horizontal="center"/>
    </xf>
    <xf numFmtId="0" fontId="16" fillId="3" borderId="21" xfId="0" applyFont="1" applyFill="1" applyBorder="1" applyAlignment="1">
      <alignment horizontal="center"/>
    </xf>
    <xf numFmtId="0" fontId="16" fillId="3" borderId="18" xfId="0" applyFont="1" applyFill="1" applyBorder="1" applyAlignment="1">
      <alignment horizontal="center"/>
    </xf>
    <xf numFmtId="0" fontId="16" fillId="3" borderId="23" xfId="0" applyFont="1" applyFill="1" applyBorder="1" applyAlignment="1">
      <alignment horizontal="center"/>
    </xf>
    <xf numFmtId="0" fontId="16" fillId="3" borderId="24" xfId="0" applyFont="1" applyFill="1" applyBorder="1" applyAlignment="1">
      <alignment horizontal="center"/>
    </xf>
    <xf numFmtId="0" fontId="11" fillId="3" borderId="0" xfId="0" applyFont="1" applyFill="1" applyAlignment="1">
      <alignment horizontal="center" wrapText="1"/>
    </xf>
    <xf numFmtId="167" fontId="16" fillId="11" borderId="0" xfId="2" applyNumberFormat="1" applyFont="1" applyFill="1" applyAlignment="1">
      <alignment horizontal="center"/>
    </xf>
    <xf numFmtId="0" fontId="0" fillId="25" borderId="17" xfId="0" applyFill="1" applyBorder="1" applyAlignment="1">
      <alignment horizontal="center" vertical="center"/>
    </xf>
    <xf numFmtId="0" fontId="0" fillId="25" borderId="21" xfId="0" applyFill="1" applyBorder="1" applyAlignment="1">
      <alignment horizontal="center" vertical="center"/>
    </xf>
    <xf numFmtId="0" fontId="0" fillId="25" borderId="18" xfId="0" applyFill="1" applyBorder="1" applyAlignment="1">
      <alignment horizontal="center" vertical="center"/>
    </xf>
    <xf numFmtId="0" fontId="0" fillId="25" borderId="24" xfId="0" applyFill="1" applyBorder="1" applyAlignment="1">
      <alignment horizontal="center" vertical="center"/>
    </xf>
    <xf numFmtId="0" fontId="0" fillId="25" borderId="28" xfId="0" applyFill="1" applyBorder="1" applyAlignment="1">
      <alignment horizontal="center"/>
    </xf>
    <xf numFmtId="0" fontId="0" fillId="25" borderId="30" xfId="0" applyFill="1" applyBorder="1" applyAlignment="1">
      <alignment horizontal="center"/>
    </xf>
    <xf numFmtId="0" fontId="0" fillId="25" borderId="29" xfId="0" applyFill="1" applyBorder="1" applyAlignment="1">
      <alignment horizontal="center"/>
    </xf>
    <xf numFmtId="0" fontId="11" fillId="3" borderId="0" xfId="0" applyFont="1" applyFill="1" applyAlignment="1">
      <alignment horizontal="center" vertical="center" wrapText="1"/>
    </xf>
    <xf numFmtId="0" fontId="16" fillId="3" borderId="2" xfId="0" applyFont="1" applyFill="1" applyBorder="1" applyAlignment="1">
      <alignment horizontal="center"/>
    </xf>
    <xf numFmtId="0" fontId="16" fillId="3" borderId="22" xfId="0" applyFont="1" applyFill="1" applyBorder="1" applyAlignment="1">
      <alignment horizontal="center"/>
    </xf>
    <xf numFmtId="0" fontId="15" fillId="3" borderId="17" xfId="0" applyFont="1" applyFill="1" applyBorder="1" applyAlignment="1">
      <alignment horizontal="center"/>
    </xf>
    <xf numFmtId="0" fontId="15" fillId="3" borderId="20" xfId="0" applyFont="1" applyFill="1" applyBorder="1" applyAlignment="1">
      <alignment horizontal="center"/>
    </xf>
    <xf numFmtId="0" fontId="15" fillId="3" borderId="21" xfId="0" applyFont="1" applyFill="1" applyBorder="1" applyAlignment="1">
      <alignment horizontal="center"/>
    </xf>
    <xf numFmtId="0" fontId="16" fillId="11" borderId="20" xfId="0" applyFont="1" applyFill="1" applyBorder="1" applyAlignment="1">
      <alignment horizontal="right"/>
    </xf>
    <xf numFmtId="0" fontId="15" fillId="3" borderId="18" xfId="0" applyFont="1" applyFill="1" applyBorder="1" applyAlignment="1">
      <alignment horizontal="center"/>
    </xf>
    <xf numFmtId="0" fontId="15" fillId="3" borderId="23" xfId="0" applyFont="1" applyFill="1" applyBorder="1" applyAlignment="1">
      <alignment horizontal="center"/>
    </xf>
    <xf numFmtId="0" fontId="15" fillId="3" borderId="24" xfId="0" applyFont="1" applyFill="1" applyBorder="1" applyAlignment="1">
      <alignment horizontal="center"/>
    </xf>
    <xf numFmtId="0" fontId="15" fillId="3" borderId="2" xfId="0" applyFont="1" applyFill="1" applyBorder="1" applyAlignment="1">
      <alignment horizontal="center"/>
    </xf>
    <xf numFmtId="0" fontId="15" fillId="3" borderId="0" xfId="0" applyFont="1" applyFill="1" applyAlignment="1">
      <alignment horizontal="center"/>
    </xf>
    <xf numFmtId="0" fontId="15" fillId="3" borderId="22" xfId="0" applyFont="1" applyFill="1" applyBorder="1" applyAlignment="1">
      <alignment horizontal="center"/>
    </xf>
    <xf numFmtId="167" fontId="13" fillId="3" borderId="0" xfId="0" applyNumberFormat="1" applyFont="1" applyFill="1" applyAlignment="1">
      <alignment horizontal="center" vertical="center" wrapText="1"/>
    </xf>
    <xf numFmtId="0" fontId="32" fillId="3" borderId="0" xfId="1" applyFont="1" applyFill="1" applyAlignment="1">
      <alignment horizontal="center" vertical="center" wrapText="1"/>
    </xf>
    <xf numFmtId="173" fontId="51" fillId="3" borderId="0" xfId="1" applyNumberFormat="1" applyFont="1" applyFill="1" applyAlignment="1">
      <alignment horizontal="left" vertical="center" wrapText="1"/>
    </xf>
    <xf numFmtId="0" fontId="20" fillId="17" borderId="4" xfId="0" applyFont="1" applyFill="1" applyBorder="1" applyAlignment="1">
      <alignment horizontal="center" vertical="center"/>
    </xf>
    <xf numFmtId="0" fontId="20" fillId="17" borderId="6" xfId="0" applyFont="1" applyFill="1" applyBorder="1" applyAlignment="1">
      <alignment horizontal="center" vertical="center"/>
    </xf>
    <xf numFmtId="0" fontId="26" fillId="3" borderId="0" xfId="1" applyFont="1" applyFill="1" applyAlignment="1">
      <alignment horizontal="left" vertical="top" wrapText="1"/>
    </xf>
    <xf numFmtId="0" fontId="26" fillId="3" borderId="31" xfId="1" applyFont="1" applyFill="1" applyBorder="1" applyAlignment="1">
      <alignment horizontal="left" vertical="top" wrapText="1"/>
    </xf>
    <xf numFmtId="0" fontId="25" fillId="3" borderId="0" xfId="1" applyFont="1" applyFill="1" applyAlignment="1">
      <alignment horizontal="left" vertical="top" wrapText="1"/>
    </xf>
    <xf numFmtId="0" fontId="25" fillId="3" borderId="31" xfId="1" applyFont="1" applyFill="1" applyBorder="1" applyAlignment="1">
      <alignment horizontal="left" vertical="top" wrapText="1"/>
    </xf>
    <xf numFmtId="0" fontId="28" fillId="3" borderId="0" xfId="0" applyFont="1" applyFill="1" applyAlignment="1">
      <alignment horizontal="center" vertical="top" wrapText="1"/>
    </xf>
    <xf numFmtId="0" fontId="17" fillId="3" borderId="0" xfId="0" applyFont="1" applyFill="1" applyAlignment="1">
      <alignment horizontal="left" wrapText="1"/>
    </xf>
    <xf numFmtId="0" fontId="35" fillId="3" borderId="0" xfId="0" applyFont="1" applyFill="1" applyAlignment="1">
      <alignment horizontal="left" wrapText="1"/>
    </xf>
    <xf numFmtId="0" fontId="35" fillId="3" borderId="0" xfId="0" applyFont="1" applyFill="1" applyAlignment="1">
      <alignment horizontal="center" vertical="center" wrapText="1"/>
    </xf>
    <xf numFmtId="0" fontId="0" fillId="3" borderId="0" xfId="0" applyFill="1" applyAlignment="1">
      <alignment horizontal="center" vertical="center" wrapText="1"/>
    </xf>
    <xf numFmtId="0" fontId="7" fillId="3" borderId="0" xfId="0" applyFont="1" applyFill="1" applyAlignment="1">
      <alignment horizontal="center" vertical="center" wrapText="1"/>
    </xf>
    <xf numFmtId="167" fontId="16" fillId="3" borderId="17" xfId="0" applyNumberFormat="1" applyFont="1" applyFill="1" applyBorder="1" applyAlignment="1">
      <alignment horizontal="center"/>
    </xf>
    <xf numFmtId="167" fontId="16" fillId="3" borderId="20" xfId="0" applyNumberFormat="1" applyFont="1" applyFill="1" applyBorder="1" applyAlignment="1">
      <alignment horizontal="center"/>
    </xf>
    <xf numFmtId="167" fontId="16" fillId="3" borderId="21" xfId="0" applyNumberFormat="1" applyFont="1" applyFill="1" applyBorder="1" applyAlignment="1">
      <alignment horizontal="center"/>
    </xf>
    <xf numFmtId="167" fontId="16" fillId="3" borderId="2" xfId="0" applyNumberFormat="1" applyFont="1" applyFill="1" applyBorder="1" applyAlignment="1">
      <alignment horizontal="center"/>
    </xf>
    <xf numFmtId="167" fontId="16" fillId="3" borderId="0" xfId="0" applyNumberFormat="1" applyFont="1" applyFill="1" applyAlignment="1">
      <alignment horizontal="center"/>
    </xf>
    <xf numFmtId="167" fontId="16" fillId="3" borderId="22" xfId="0" applyNumberFormat="1" applyFont="1" applyFill="1" applyBorder="1" applyAlignment="1">
      <alignment horizontal="center"/>
    </xf>
    <xf numFmtId="167" fontId="16" fillId="3" borderId="18" xfId="0" applyNumberFormat="1" applyFont="1" applyFill="1" applyBorder="1" applyAlignment="1">
      <alignment horizontal="center"/>
    </xf>
    <xf numFmtId="167" fontId="16" fillId="3" borderId="23" xfId="0" applyNumberFormat="1" applyFont="1" applyFill="1" applyBorder="1" applyAlignment="1">
      <alignment horizontal="center"/>
    </xf>
    <xf numFmtId="167" fontId="16" fillId="3" borderId="24" xfId="0" applyNumberFormat="1" applyFont="1" applyFill="1" applyBorder="1" applyAlignment="1">
      <alignment horizontal="center"/>
    </xf>
    <xf numFmtId="167" fontId="0" fillId="25" borderId="17" xfId="0" applyNumberFormat="1" applyFill="1" applyBorder="1" applyAlignment="1">
      <alignment horizontal="center" vertical="center"/>
    </xf>
    <xf numFmtId="167" fontId="0" fillId="25" borderId="21" xfId="0" applyNumberFormat="1" applyFill="1" applyBorder="1" applyAlignment="1">
      <alignment horizontal="center" vertical="center"/>
    </xf>
    <xf numFmtId="167" fontId="0" fillId="25" borderId="18" xfId="0" applyNumberFormat="1" applyFill="1" applyBorder="1" applyAlignment="1">
      <alignment horizontal="center" vertical="center"/>
    </xf>
    <xf numFmtId="167" fontId="0" fillId="25" borderId="24" xfId="0" applyNumberFormat="1" applyFill="1" applyBorder="1" applyAlignment="1">
      <alignment horizontal="center" vertical="center"/>
    </xf>
    <xf numFmtId="167" fontId="0" fillId="25" borderId="28" xfId="0" applyNumberFormat="1" applyFill="1" applyBorder="1" applyAlignment="1">
      <alignment horizontal="center"/>
    </xf>
    <xf numFmtId="167" fontId="0" fillId="25" borderId="30" xfId="0" applyNumberFormat="1" applyFill="1" applyBorder="1" applyAlignment="1">
      <alignment horizontal="center"/>
    </xf>
    <xf numFmtId="167" fontId="0" fillId="25" borderId="29" xfId="0" applyNumberFormat="1" applyFill="1" applyBorder="1" applyAlignment="1">
      <alignment horizontal="center"/>
    </xf>
    <xf numFmtId="167" fontId="15" fillId="3" borderId="2" xfId="0" applyNumberFormat="1" applyFont="1" applyFill="1" applyBorder="1" applyAlignment="1">
      <alignment horizontal="center"/>
    </xf>
    <xf numFmtId="167" fontId="15" fillId="3" borderId="0" xfId="0" applyNumberFormat="1" applyFont="1" applyFill="1" applyAlignment="1">
      <alignment horizontal="center"/>
    </xf>
    <xf numFmtId="167" fontId="15" fillId="3" borderId="22" xfId="0" applyNumberFormat="1" applyFont="1" applyFill="1" applyBorder="1" applyAlignment="1">
      <alignment horizontal="center"/>
    </xf>
    <xf numFmtId="167" fontId="16" fillId="11" borderId="20" xfId="0" applyNumberFormat="1" applyFont="1" applyFill="1" applyBorder="1" applyAlignment="1">
      <alignment horizontal="right"/>
    </xf>
    <xf numFmtId="167" fontId="15" fillId="3" borderId="17" xfId="0" applyNumberFormat="1" applyFont="1" applyFill="1" applyBorder="1" applyAlignment="1">
      <alignment horizontal="center"/>
    </xf>
    <xf numFmtId="167" fontId="15" fillId="3" borderId="20" xfId="0" applyNumberFormat="1" applyFont="1" applyFill="1" applyBorder="1" applyAlignment="1">
      <alignment horizontal="center"/>
    </xf>
    <xf numFmtId="167" fontId="15" fillId="3" borderId="21" xfId="0" applyNumberFormat="1" applyFont="1" applyFill="1" applyBorder="1" applyAlignment="1">
      <alignment horizontal="center"/>
    </xf>
    <xf numFmtId="0" fontId="32" fillId="3" borderId="0" xfId="1" applyFont="1" applyFill="1" applyAlignment="1">
      <alignment horizontal="center" vertical="center"/>
    </xf>
    <xf numFmtId="0" fontId="48" fillId="3" borderId="0" xfId="1" applyFont="1" applyFill="1" applyAlignment="1">
      <alignment horizontal="center" vertical="center" wrapText="1"/>
    </xf>
    <xf numFmtId="0" fontId="17" fillId="3" borderId="0" xfId="0" applyFont="1" applyFill="1" applyAlignment="1">
      <alignment horizontal="center"/>
    </xf>
  </cellXfs>
  <cellStyles count="4">
    <cellStyle name="Currency" xfId="2" builtinId="4"/>
    <cellStyle name="Normal" xfId="0" builtinId="0"/>
    <cellStyle name="Normal 2" xfId="1" xr:uid="{00000000-0005-0000-0000-000002000000}"/>
    <cellStyle name="Percent" xfId="3" builtinId="5"/>
  </cellStyles>
  <dxfs count="34">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numFmt numFmtId="174" formatCode="0.000000000000"/>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7E1"/>
      <color rgb="FFCC9900"/>
      <color rgb="FFB17E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Breakdown </a:t>
            </a:r>
          </a:p>
          <a:p>
            <a:pPr>
              <a:defRPr/>
            </a:pPr>
            <a:r>
              <a:rPr lang="en-AU"/>
              <a:t>based</a:t>
            </a:r>
            <a:r>
              <a:rPr lang="en-AU" baseline="0"/>
              <a:t> on Price</a:t>
            </a:r>
            <a:endParaRPr lang="en-AU"/>
          </a:p>
        </c:rich>
      </c:tx>
      <c:layout>
        <c:manualLayout>
          <c:xMode val="edge"/>
          <c:yMode val="edge"/>
          <c:x val="0.64586061631369529"/>
          <c:y val="6.1334607247223137E-2"/>
        </c:manualLayout>
      </c:layout>
      <c:overlay val="1"/>
    </c:title>
    <c:autoTitleDeleted val="0"/>
    <c:plotArea>
      <c:layout/>
      <c:pieChart>
        <c:varyColors val="1"/>
        <c:ser>
          <c:idx val="0"/>
          <c:order val="0"/>
          <c:explosion val="10"/>
          <c:dPt>
            <c:idx val="1"/>
            <c:bubble3D val="0"/>
            <c:extLst>
              <c:ext xmlns:c16="http://schemas.microsoft.com/office/drawing/2014/chart" uri="{C3380CC4-5D6E-409C-BE32-E72D297353CC}">
                <c16:uniqueId val="{00000000-7AB1-46F9-A733-C435C572A5FF}"/>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'(HIDE) Data Validation'!$A$83:$A$84</c:f>
              <c:strCache>
                <c:ptCount val="2"/>
                <c:pt idx="0">
                  <c:v>Variable Costs</c:v>
                </c:pt>
                <c:pt idx="1">
                  <c:v>Contribution Margin</c:v>
                </c:pt>
              </c:strCache>
            </c:strRef>
          </c:cat>
          <c:val>
            <c:numRef>
              <c:f>'(HIDE) Data Validation'!$B$83:$B$84</c:f>
              <c:numCache>
                <c:formatCode>_("$"* #,##0.00_);_("$"* \(#,##0.00\);_("$"* "-"??_);_(@_)</c:formatCode>
                <c:ptCount val="2"/>
                <c:pt idx="0">
                  <c:v>4</c:v>
                </c:pt>
                <c:pt idx="1">
                  <c:v>6</c:v>
                </c:pt>
              </c:numCache>
            </c:numRef>
          </c:val>
          <c:extLst>
            <c:ext xmlns:c16="http://schemas.microsoft.com/office/drawing/2014/chart" uri="{C3380CC4-5D6E-409C-BE32-E72D297353CC}">
              <c16:uniqueId val="{00000001-7AB1-46F9-A733-C435C572A5FF}"/>
            </c:ext>
          </c:extLst>
        </c:ser>
        <c:dLbls>
          <c:dLblPos val="ctr"/>
          <c:showLegendKey val="0"/>
          <c:showVal val="1"/>
          <c:showCatName val="0"/>
          <c:showSerName val="0"/>
          <c:showPercent val="0"/>
          <c:showBubbleSize val="0"/>
          <c:showLeaderLines val="1"/>
        </c:dLbls>
        <c:firstSliceAng val="0"/>
      </c:pieChart>
    </c:plotArea>
    <c:legend>
      <c:legendPos val="r"/>
      <c:layout>
        <c:manualLayout>
          <c:xMode val="edge"/>
          <c:yMode val="edge"/>
          <c:x val="0.67813278889606343"/>
          <c:y val="0.40757409957053703"/>
          <c:w val="0.28483823991498813"/>
          <c:h val="0.38657451283740113"/>
        </c:manualLayout>
      </c:layout>
      <c:overlay val="0"/>
    </c:legend>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Gross</a:t>
            </a:r>
            <a:r>
              <a:rPr lang="en-AU" baseline="0"/>
              <a:t> Profits vs Total Expenses</a:t>
            </a:r>
          </a:p>
        </c:rich>
      </c:tx>
      <c:overlay val="1"/>
    </c:title>
    <c:autoTitleDeleted val="0"/>
    <c:plotArea>
      <c:layout>
        <c:manualLayout>
          <c:layoutTarget val="inner"/>
          <c:xMode val="edge"/>
          <c:yMode val="edge"/>
          <c:x val="0.2801038600269084"/>
          <c:y val="0.18217909719896325"/>
          <c:w val="0.42862097159748896"/>
          <c:h val="0.76529434699998866"/>
        </c:manualLayout>
      </c:layout>
      <c:pieChart>
        <c:varyColors val="1"/>
        <c:ser>
          <c:idx val="0"/>
          <c:order val="0"/>
          <c:dPt>
            <c:idx val="0"/>
            <c:bubble3D val="0"/>
            <c:spPr>
              <a:solidFill>
                <a:srgbClr val="00B050"/>
              </a:solidFill>
            </c:spPr>
            <c:extLst>
              <c:ext xmlns:c16="http://schemas.microsoft.com/office/drawing/2014/chart" uri="{C3380CC4-5D6E-409C-BE32-E72D297353CC}">
                <c16:uniqueId val="{00000001-E716-4523-8900-14986C29E839}"/>
              </c:ext>
            </c:extLst>
          </c:dPt>
          <c:dPt>
            <c:idx val="1"/>
            <c:bubble3D val="0"/>
            <c:explosion val="9"/>
            <c:spPr>
              <a:solidFill>
                <a:srgbClr val="FF0000"/>
              </a:solidFill>
            </c:spPr>
            <c:extLst>
              <c:ext xmlns:c16="http://schemas.microsoft.com/office/drawing/2014/chart" uri="{C3380CC4-5D6E-409C-BE32-E72D297353CC}">
                <c16:uniqueId val="{00000003-E716-4523-8900-14986C29E839}"/>
              </c:ext>
            </c:extLst>
          </c:dPt>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('2019 Inc Statement'!$B$12,'2019 Inc Statement'!$B$30)</c:f>
              <c:strCache>
                <c:ptCount val="2"/>
                <c:pt idx="0">
                  <c:v>Gross Profit</c:v>
                </c:pt>
                <c:pt idx="1">
                  <c:v>Total Expenses (Except Interest)</c:v>
                </c:pt>
              </c:strCache>
            </c:strRef>
          </c:cat>
          <c:val>
            <c:numRef>
              <c:f>('2019 Inc Statement'!$F$12,'2019 Inc Statement'!$F$30)</c:f>
              <c:numCache>
                <c:formatCode>_(* #,##0.00_);_(* \(#,##0.00\);_(* "-"??_);_(@_)</c:formatCode>
                <c:ptCount val="2"/>
                <c:pt idx="0">
                  <c:v>1721433.2</c:v>
                </c:pt>
                <c:pt idx="1">
                  <c:v>1430534.19</c:v>
                </c:pt>
              </c:numCache>
            </c:numRef>
          </c:val>
          <c:extLst>
            <c:ext xmlns:c16="http://schemas.microsoft.com/office/drawing/2014/chart" uri="{C3380CC4-5D6E-409C-BE32-E72D297353CC}">
              <c16:uniqueId val="{00000004-E716-4523-8900-14986C29E839}"/>
            </c:ext>
          </c:extLst>
        </c:ser>
        <c:dLbls>
          <c:showLegendKey val="0"/>
          <c:showVal val="1"/>
          <c:showCatName val="1"/>
          <c:showSerName val="0"/>
          <c:showPercent val="0"/>
          <c:showBubbleSize val="0"/>
          <c:showLeaderLines val="1"/>
        </c:dLbls>
        <c:firstSliceAng val="0"/>
      </c:pieChart>
    </c:plotArea>
    <c:legend>
      <c:legendPos val="r"/>
      <c:layout>
        <c:manualLayout>
          <c:xMode val="edge"/>
          <c:yMode val="edge"/>
          <c:x val="0.69517298495407864"/>
          <c:y val="0.41159008761552496"/>
          <c:w val="0.29135400562117997"/>
          <c:h val="0.48483464922799863"/>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Expenses Breakdown</a:t>
            </a:r>
          </a:p>
        </c:rich>
      </c:tx>
      <c:overlay val="0"/>
    </c:title>
    <c:autoTitleDeleted val="0"/>
    <c:plotArea>
      <c:layout/>
      <c:pieChart>
        <c:varyColors val="1"/>
        <c:ser>
          <c:idx val="0"/>
          <c:order val="0"/>
          <c:explosion val="25"/>
          <c:dPt>
            <c:idx val="6"/>
            <c:bubble3D val="0"/>
            <c:spPr>
              <a:solidFill>
                <a:srgbClr val="FF0000"/>
              </a:solidFill>
            </c:spPr>
            <c:extLst>
              <c:ext xmlns:c16="http://schemas.microsoft.com/office/drawing/2014/chart" uri="{C3380CC4-5D6E-409C-BE32-E72D297353CC}">
                <c16:uniqueId val="{00000001-4821-4E6D-A528-95174D2AC7EC}"/>
              </c:ext>
            </c:extLst>
          </c:dPt>
          <c:cat>
            <c:strRef>
              <c:f>'2019 Inc Statement'!$B$15:$B$28</c:f>
              <c:strCache>
                <c:ptCount val="12"/>
                <c:pt idx="0">
                  <c:v>Startup Expenses</c:v>
                </c:pt>
                <c:pt idx="1">
                  <c:v>Rent Expense</c:v>
                </c:pt>
                <c:pt idx="2">
                  <c:v>Utilities Expense</c:v>
                </c:pt>
                <c:pt idx="3">
                  <c:v>Insurance Expense</c:v>
                </c:pt>
                <c:pt idx="4">
                  <c:v>Marketing Expense</c:v>
                </c:pt>
                <c:pt idx="5">
                  <c:v>Salaries Expense</c:v>
                </c:pt>
                <c:pt idx="6">
                  <c:v>Wages Expense</c:v>
                </c:pt>
                <c:pt idx="7">
                  <c:v>Depreciation: Kitchen</c:v>
                </c:pt>
                <c:pt idx="8">
                  <c:v>Depreciation: Display Cabinets</c:v>
                </c:pt>
                <c:pt idx="9">
                  <c:v>Depreciation: Cool Room</c:v>
                </c:pt>
                <c:pt idx="10">
                  <c:v>Depreciation: Vehicle</c:v>
                </c:pt>
                <c:pt idx="11">
                  <c:v>Franchising Expense</c:v>
                </c:pt>
              </c:strCache>
            </c:strRef>
          </c:cat>
          <c:val>
            <c:numRef>
              <c:f>'2019 Inc Statement'!$D$15:$D$28</c:f>
              <c:numCache>
                <c:formatCode>_(* #,##0.00_);_(* \(#,##0.00\);_(* "-"??_);_(@_)</c:formatCode>
                <c:ptCount val="14"/>
                <c:pt idx="0">
                  <c:v>120000</c:v>
                </c:pt>
                <c:pt idx="1">
                  <c:v>336000</c:v>
                </c:pt>
                <c:pt idx="2">
                  <c:v>56400</c:v>
                </c:pt>
                <c:pt idx="3">
                  <c:v>3600</c:v>
                </c:pt>
                <c:pt idx="4">
                  <c:v>60000</c:v>
                </c:pt>
                <c:pt idx="5">
                  <c:v>81600</c:v>
                </c:pt>
                <c:pt idx="6">
                  <c:v>762880</c:v>
                </c:pt>
                <c:pt idx="7">
                  <c:v>8450.0066666666662</c:v>
                </c:pt>
                <c:pt idx="8">
                  <c:v>1604.18</c:v>
                </c:pt>
                <c:pt idx="9">
                  <c:v>0</c:v>
                </c:pt>
                <c:pt idx="10">
                  <c:v>0</c:v>
                </c:pt>
                <c:pt idx="11">
                  <c:v>0</c:v>
                </c:pt>
                <c:pt idx="12">
                  <c:v>0</c:v>
                </c:pt>
              </c:numCache>
            </c:numRef>
          </c:val>
          <c:extLst>
            <c:ext xmlns:c16="http://schemas.microsoft.com/office/drawing/2014/chart" uri="{C3380CC4-5D6E-409C-BE32-E72D297353CC}">
              <c16:uniqueId val="{00000002-4821-4E6D-A528-95174D2AC7E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992218968728722"/>
          <c:y val="0.11486438588908937"/>
          <c:w val="0.3237089023873902"/>
          <c:h val="0.85972440413713935"/>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Current Assets </a:t>
            </a:r>
          </a:p>
          <a:p>
            <a:pPr>
              <a:defRPr/>
            </a:pPr>
            <a:r>
              <a:rPr lang="en-AU"/>
              <a:t>vs </a:t>
            </a:r>
          </a:p>
          <a:p>
            <a:pPr>
              <a:defRPr/>
            </a:pPr>
            <a:r>
              <a:rPr lang="en-AU"/>
              <a:t>Non-Current Assets</a:t>
            </a:r>
          </a:p>
        </c:rich>
      </c:tx>
      <c:layout>
        <c:manualLayout>
          <c:xMode val="edge"/>
          <c:yMode val="edge"/>
          <c:x val="2.4604712440906937E-2"/>
          <c:y val="4.8085094209763757E-2"/>
        </c:manualLayout>
      </c:layout>
      <c:overlay val="1"/>
    </c:title>
    <c:autoTitleDeleted val="0"/>
    <c:plotArea>
      <c:layout>
        <c:manualLayout>
          <c:layoutTarget val="inner"/>
          <c:xMode val="edge"/>
          <c:yMode val="edge"/>
          <c:x val="0.23063870179076443"/>
          <c:y val="0.12127035518183149"/>
          <c:w val="0.54253770806250101"/>
          <c:h val="0.87872964481816851"/>
        </c:manualLayout>
      </c:layout>
      <c:pieChart>
        <c:varyColors val="1"/>
        <c:ser>
          <c:idx val="2"/>
          <c:order val="2"/>
          <c:dPt>
            <c:idx val="1"/>
            <c:bubble3D val="0"/>
            <c:explosion val="15"/>
            <c:extLst>
              <c:ext xmlns:c16="http://schemas.microsoft.com/office/drawing/2014/chart" uri="{C3380CC4-5D6E-409C-BE32-E72D297353CC}">
                <c16:uniqueId val="{00000000-E506-49FB-A361-C944BDE79B06}"/>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Sheet'!$B$11,'2019 Bal Sheet'!$B$22)</c:f>
              <c:strCache>
                <c:ptCount val="2"/>
                <c:pt idx="0">
                  <c:v>Total Current Assets</c:v>
                </c:pt>
                <c:pt idx="1">
                  <c:v>Total Non-Current Assets</c:v>
                </c:pt>
              </c:strCache>
            </c:strRef>
          </c:cat>
          <c:val>
            <c:numRef>
              <c:f>('2019 Bal Sheet'!$E$11,'2019 Bal Sheet'!$E$22)</c:f>
              <c:numCache>
                <c:formatCode>_(* #,##0.00_);_(* \(#,##0.00\);_(* "-"??_);_(@_)</c:formatCode>
                <c:ptCount val="2"/>
                <c:pt idx="0">
                  <c:v>460642.87</c:v>
                </c:pt>
                <c:pt idx="1">
                  <c:v>178945.81</c:v>
                </c:pt>
              </c:numCache>
            </c:numRef>
          </c:val>
          <c:extLst>
            <c:ext xmlns:c16="http://schemas.microsoft.com/office/drawing/2014/chart" uri="{C3380CC4-5D6E-409C-BE32-E72D297353CC}">
              <c16:uniqueId val="{00000001-E506-49FB-A361-C944BDE79B06}"/>
            </c:ext>
          </c:extLst>
        </c:ser>
        <c:ser>
          <c:idx val="3"/>
          <c:order val="3"/>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Sheet'!$B$11,'2019 Bal Sheet'!$B$22)</c:f>
              <c:strCache>
                <c:ptCount val="2"/>
                <c:pt idx="0">
                  <c:v>Total Current Assets</c:v>
                </c:pt>
                <c:pt idx="1">
                  <c:v>Total Non-Current Assets</c:v>
                </c:pt>
              </c:strCache>
            </c:strRef>
          </c:cat>
          <c:val>
            <c:numRef>
              <c:f>('2019 Bal Sheet'!$E$11,'2019 Bal Sheet'!$E$22)</c:f>
              <c:numCache>
                <c:formatCode>_(* #,##0.00_);_(* \(#,##0.00\);_(* "-"??_);_(@_)</c:formatCode>
                <c:ptCount val="2"/>
                <c:pt idx="0">
                  <c:v>460642.87</c:v>
                </c:pt>
                <c:pt idx="1">
                  <c:v>178945.81</c:v>
                </c:pt>
              </c:numCache>
            </c:numRef>
          </c:val>
          <c:extLst>
            <c:ext xmlns:c16="http://schemas.microsoft.com/office/drawing/2014/chart" uri="{C3380CC4-5D6E-409C-BE32-E72D297353CC}">
              <c16:uniqueId val="{00000002-E506-49FB-A361-C944BDE79B06}"/>
            </c:ext>
          </c:extLst>
        </c:ser>
        <c:ser>
          <c:idx val="1"/>
          <c:order val="1"/>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Sheet'!$B$11,'2019 Bal Sheet'!$B$22)</c:f>
              <c:strCache>
                <c:ptCount val="2"/>
                <c:pt idx="0">
                  <c:v>Total Current Assets</c:v>
                </c:pt>
                <c:pt idx="1">
                  <c:v>Total Non-Current Assets</c:v>
                </c:pt>
              </c:strCache>
            </c:strRef>
          </c:cat>
          <c:val>
            <c:numRef>
              <c:f>('2019 Bal Sheet'!$E$11,'2019 Bal Sheet'!$E$22)</c:f>
              <c:numCache>
                <c:formatCode>_(* #,##0.00_);_(* \(#,##0.00\);_(* "-"??_);_(@_)</c:formatCode>
                <c:ptCount val="2"/>
                <c:pt idx="0">
                  <c:v>460642.87</c:v>
                </c:pt>
                <c:pt idx="1">
                  <c:v>178945.81</c:v>
                </c:pt>
              </c:numCache>
            </c:numRef>
          </c:val>
          <c:extLst>
            <c:ext xmlns:c16="http://schemas.microsoft.com/office/drawing/2014/chart" uri="{C3380CC4-5D6E-409C-BE32-E72D297353CC}">
              <c16:uniqueId val="{00000003-E506-49FB-A361-C944BDE79B06}"/>
            </c:ext>
          </c:extLst>
        </c:ser>
        <c:ser>
          <c:idx val="0"/>
          <c:order val="0"/>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Sheet'!$B$11,'2019 Bal Sheet'!$B$22)</c:f>
              <c:strCache>
                <c:ptCount val="2"/>
                <c:pt idx="0">
                  <c:v>Total Current Assets</c:v>
                </c:pt>
                <c:pt idx="1">
                  <c:v>Total Non-Current Assets</c:v>
                </c:pt>
              </c:strCache>
            </c:strRef>
          </c:cat>
          <c:val>
            <c:numRef>
              <c:f>('2019 Bal Sheet'!$E$11,'2019 Bal Sheet'!$E$22)</c:f>
              <c:numCache>
                <c:formatCode>_(* #,##0.00_);_(* \(#,##0.00\);_(* "-"??_);_(@_)</c:formatCode>
                <c:ptCount val="2"/>
                <c:pt idx="0">
                  <c:v>460642.87</c:v>
                </c:pt>
                <c:pt idx="1">
                  <c:v>178945.81</c:v>
                </c:pt>
              </c:numCache>
            </c:numRef>
          </c:val>
          <c:extLst>
            <c:ext xmlns:c16="http://schemas.microsoft.com/office/drawing/2014/chart" uri="{C3380CC4-5D6E-409C-BE32-E72D297353CC}">
              <c16:uniqueId val="{00000004-E506-49FB-A361-C944BDE79B06}"/>
            </c:ext>
          </c:extLst>
        </c:ser>
        <c:dLbls>
          <c:dLblPos val="bestFit"/>
          <c:showLegendKey val="0"/>
          <c:showVal val="1"/>
          <c:showCatName val="1"/>
          <c:showSerName val="0"/>
          <c:showPercent val="0"/>
          <c:showBubbleSize val="0"/>
          <c:showLeaderLines val="1"/>
        </c:dLbls>
        <c:firstSliceAng val="0"/>
      </c:pieChart>
    </c:plotArea>
    <c:legend>
      <c:legendPos val="r"/>
      <c:layout>
        <c:manualLayout>
          <c:xMode val="edge"/>
          <c:yMode val="edge"/>
          <c:x val="0.73265181365443677"/>
          <c:y val="0.73513225710105035"/>
          <c:w val="0.2607799727755305"/>
          <c:h val="0.26088838040835316"/>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lgn="ctr">
              <a:defRPr/>
            </a:pPr>
            <a:r>
              <a:rPr lang="en-AU" sz="1800" b="1" i="0" baseline="0">
                <a:solidFill>
                  <a:schemeClr val="bg1"/>
                </a:solidFill>
                <a:effectLst/>
              </a:rPr>
              <a:t>Current Liabilities </a:t>
            </a:r>
            <a:endParaRPr lang="en-AU">
              <a:solidFill>
                <a:schemeClr val="bg1"/>
              </a:solidFill>
              <a:effectLst/>
            </a:endParaRPr>
          </a:p>
          <a:p>
            <a:pPr algn="ctr">
              <a:defRPr/>
            </a:pPr>
            <a:r>
              <a:rPr lang="en-AU" sz="1800" b="1" i="0" baseline="0">
                <a:solidFill>
                  <a:schemeClr val="bg1"/>
                </a:solidFill>
                <a:effectLst/>
              </a:rPr>
              <a:t>vs </a:t>
            </a:r>
            <a:endParaRPr lang="en-AU">
              <a:solidFill>
                <a:schemeClr val="bg1"/>
              </a:solidFill>
              <a:effectLst/>
            </a:endParaRPr>
          </a:p>
          <a:p>
            <a:pPr algn="ctr">
              <a:defRPr/>
            </a:pPr>
            <a:r>
              <a:rPr lang="en-AU" sz="1800" b="1" i="0" baseline="0">
                <a:solidFill>
                  <a:schemeClr val="bg1"/>
                </a:solidFill>
                <a:effectLst/>
              </a:rPr>
              <a:t>Non-Current Liabilities</a:t>
            </a:r>
            <a:endParaRPr lang="en-AU">
              <a:solidFill>
                <a:schemeClr val="bg1"/>
              </a:solidFill>
              <a:effectLst/>
            </a:endParaRPr>
          </a:p>
        </c:rich>
      </c:tx>
      <c:layout>
        <c:manualLayout>
          <c:xMode val="edge"/>
          <c:yMode val="edge"/>
          <c:x val="1.9319373882374868E-2"/>
          <c:y val="4.7679334575026121E-2"/>
        </c:manualLayout>
      </c:layout>
      <c:overlay val="1"/>
    </c:title>
    <c:autoTitleDeleted val="0"/>
    <c:plotArea>
      <c:layout>
        <c:manualLayout>
          <c:layoutTarget val="inner"/>
          <c:xMode val="edge"/>
          <c:yMode val="edge"/>
          <c:x val="0.21925595671234163"/>
          <c:y val="0.12077471618698808"/>
          <c:w val="0.53098982029857167"/>
          <c:h val="0.8792252838130119"/>
        </c:manualLayout>
      </c:layout>
      <c:pieChart>
        <c:varyColors val="1"/>
        <c:ser>
          <c:idx val="0"/>
          <c:order val="0"/>
          <c:dPt>
            <c:idx val="0"/>
            <c:bubble3D val="0"/>
            <c:explosion val="20"/>
            <c:spPr>
              <a:solidFill>
                <a:schemeClr val="accent6"/>
              </a:solidFill>
            </c:spPr>
            <c:extLst>
              <c:ext xmlns:c16="http://schemas.microsoft.com/office/drawing/2014/chart" uri="{C3380CC4-5D6E-409C-BE32-E72D297353CC}">
                <c16:uniqueId val="{00000001-BA25-4074-A940-30B015CC62E8}"/>
              </c:ext>
            </c:extLst>
          </c:dPt>
          <c:dPt>
            <c:idx val="1"/>
            <c:bubble3D val="0"/>
            <c:spPr>
              <a:solidFill>
                <a:srgbClr val="7030A0"/>
              </a:solidFill>
            </c:spPr>
            <c:extLst>
              <c:ext xmlns:c16="http://schemas.microsoft.com/office/drawing/2014/chart" uri="{C3380CC4-5D6E-409C-BE32-E72D297353CC}">
                <c16:uniqueId val="{00000003-BA25-4074-A940-30B015CC62E8}"/>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Sheet'!$B$34,'2019 Bal Sheet'!$B$38)</c:f>
              <c:strCache>
                <c:ptCount val="2"/>
                <c:pt idx="0">
                  <c:v>Total Current Liabilities</c:v>
                </c:pt>
                <c:pt idx="1">
                  <c:v>Total Non-Current Liabilities</c:v>
                </c:pt>
              </c:strCache>
            </c:strRef>
          </c:cat>
          <c:val>
            <c:numRef>
              <c:f>('2019 Bal Sheet'!$E$34,'2019 Bal Sheet'!$E$38)</c:f>
              <c:numCache>
                <c:formatCode>_(* #,##0.00_);_(* \(#,##0.00\);_(* "-"??_);_(@_)</c:formatCode>
                <c:ptCount val="2"/>
                <c:pt idx="0">
                  <c:v>171380</c:v>
                </c:pt>
                <c:pt idx="1">
                  <c:v>81902.03</c:v>
                </c:pt>
              </c:numCache>
            </c:numRef>
          </c:val>
          <c:extLst>
            <c:ext xmlns:c16="http://schemas.microsoft.com/office/drawing/2014/chart" uri="{C3380CC4-5D6E-409C-BE32-E72D297353CC}">
              <c16:uniqueId val="{00000004-BA25-4074-A940-30B015CC62E8}"/>
            </c:ext>
          </c:extLst>
        </c:ser>
        <c:dLbls>
          <c:dLblPos val="bestFit"/>
          <c:showLegendKey val="0"/>
          <c:showVal val="1"/>
          <c:showCatName val="1"/>
          <c:showSerName val="0"/>
          <c:showPercent val="0"/>
          <c:showBubbleSize val="0"/>
          <c:showLeaderLines val="1"/>
        </c:dLbls>
        <c:firstSliceAng val="0"/>
      </c:pieChart>
    </c:plotArea>
    <c:legend>
      <c:legendPos val="r"/>
      <c:layout>
        <c:manualLayout>
          <c:xMode val="edge"/>
          <c:yMode val="edge"/>
          <c:x val="0.69129189114915213"/>
          <c:y val="0.77317266090183634"/>
          <c:w val="0.28483281139232802"/>
          <c:h val="0.22557247185406909"/>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Cash Receipts Breakdown</a:t>
            </a:r>
          </a:p>
        </c:rich>
      </c:tx>
      <c:layout>
        <c:manualLayout>
          <c:xMode val="edge"/>
          <c:yMode val="edge"/>
          <c:x val="6.8833635503224563E-2"/>
          <c:y val="4.0733671150176946E-2"/>
        </c:manualLayout>
      </c:layout>
      <c:overlay val="0"/>
    </c:title>
    <c:autoTitleDeleted val="0"/>
    <c:plotArea>
      <c:layout/>
      <c:pieChart>
        <c:varyColors val="1"/>
        <c:ser>
          <c:idx val="0"/>
          <c:order val="0"/>
          <c:explosion val="25"/>
          <c:dPt>
            <c:idx val="0"/>
            <c:bubble3D val="0"/>
            <c:spPr>
              <a:solidFill>
                <a:srgbClr val="00B050"/>
              </a:solidFill>
            </c:spPr>
            <c:extLst>
              <c:ext xmlns:c16="http://schemas.microsoft.com/office/drawing/2014/chart" uri="{C3380CC4-5D6E-409C-BE32-E72D297353CC}">
                <c16:uniqueId val="{00000001-78AB-4B0D-98F8-DBEEC643DA5D}"/>
              </c:ext>
            </c:extLst>
          </c:dPt>
          <c:dPt>
            <c:idx val="5"/>
            <c:bubble3D val="0"/>
            <c:spPr>
              <a:solidFill>
                <a:schemeClr val="bg1"/>
              </a:solidFill>
            </c:spPr>
            <c:extLst>
              <c:ext xmlns:c16="http://schemas.microsoft.com/office/drawing/2014/chart" uri="{C3380CC4-5D6E-409C-BE32-E72D297353CC}">
                <c16:uniqueId val="{00000003-78AB-4B0D-98F8-DBEEC643DA5D}"/>
              </c:ext>
            </c:extLst>
          </c:dPt>
          <c:cat>
            <c:strRef>
              <c:f>'2020 6mth Forecast'!$B$7:$B$10</c:f>
              <c:strCache>
                <c:ptCount val="4"/>
                <c:pt idx="0">
                  <c:v>Cash Sales (Burgers)</c:v>
                </c:pt>
                <c:pt idx="1">
                  <c:v>Credit Sales (Burgers)</c:v>
                </c:pt>
                <c:pt idx="2">
                  <c:v>Cash Sales (Hot Chips)</c:v>
                </c:pt>
                <c:pt idx="3">
                  <c:v>Credit Sales (Hot Chips)</c:v>
                </c:pt>
              </c:strCache>
            </c:strRef>
          </c:cat>
          <c:val>
            <c:numRef>
              <c:f>'2020 6mth Forecast'!$I$7:$I$10</c:f>
              <c:numCache>
                <c:formatCode>_(* #,##0.00_);_(* \(#,##0.00\);_(* "-"??_);_(@_)</c:formatCode>
                <c:ptCount val="4"/>
                <c:pt idx="0">
                  <c:v>1135995</c:v>
                </c:pt>
                <c:pt idx="1">
                  <c:v>533289</c:v>
                </c:pt>
                <c:pt idx="2">
                  <c:v>230515.59999999998</c:v>
                </c:pt>
                <c:pt idx="3">
                  <c:v>108214.79999999999</c:v>
                </c:pt>
              </c:numCache>
            </c:numRef>
          </c:val>
          <c:extLst>
            <c:ext xmlns:c16="http://schemas.microsoft.com/office/drawing/2014/chart" uri="{C3380CC4-5D6E-409C-BE32-E72D297353CC}">
              <c16:uniqueId val="{00000004-78AB-4B0D-98F8-DBEEC643DA5D}"/>
            </c:ext>
          </c:extLst>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Cash Payment Breakdown</a:t>
            </a:r>
          </a:p>
        </c:rich>
      </c:tx>
      <c:layout>
        <c:manualLayout>
          <c:xMode val="edge"/>
          <c:yMode val="edge"/>
          <c:x val="3.8794707096238952E-2"/>
          <c:y val="2.7179479340232661E-2"/>
        </c:manualLayout>
      </c:layout>
      <c:overlay val="0"/>
    </c:title>
    <c:autoTitleDeleted val="0"/>
    <c:plotArea>
      <c:layout/>
      <c:pieChart>
        <c:varyColors val="1"/>
        <c:ser>
          <c:idx val="0"/>
          <c:order val="0"/>
          <c:explosion val="25"/>
          <c:dPt>
            <c:idx val="1"/>
            <c:bubble3D val="0"/>
            <c:spPr>
              <a:solidFill>
                <a:srgbClr val="70AD47">
                  <a:lumMod val="50000"/>
                </a:srgbClr>
              </a:solidFill>
            </c:spPr>
            <c:extLst>
              <c:ext xmlns:c16="http://schemas.microsoft.com/office/drawing/2014/chart" uri="{C3380CC4-5D6E-409C-BE32-E72D297353CC}">
                <c16:uniqueId val="{00000001-DD4B-4876-90E6-9D52E9315193}"/>
              </c:ext>
            </c:extLst>
          </c:dPt>
          <c:dPt>
            <c:idx val="4"/>
            <c:bubble3D val="0"/>
            <c:spPr>
              <a:solidFill>
                <a:srgbClr val="00B050"/>
              </a:solidFill>
            </c:spPr>
            <c:extLst>
              <c:ext xmlns:c16="http://schemas.microsoft.com/office/drawing/2014/chart" uri="{C3380CC4-5D6E-409C-BE32-E72D297353CC}">
                <c16:uniqueId val="{00000003-DD4B-4876-90E6-9D52E9315193}"/>
              </c:ext>
            </c:extLst>
          </c:dPt>
          <c:dPt>
            <c:idx val="7"/>
            <c:bubble3D val="0"/>
            <c:spPr>
              <a:solidFill>
                <a:srgbClr val="C00000"/>
              </a:solidFill>
            </c:spPr>
            <c:extLst>
              <c:ext xmlns:c16="http://schemas.microsoft.com/office/drawing/2014/chart" uri="{C3380CC4-5D6E-409C-BE32-E72D297353CC}">
                <c16:uniqueId val="{00000005-DD4B-4876-90E6-9D52E9315193}"/>
              </c:ext>
            </c:extLst>
          </c:dPt>
          <c:dPt>
            <c:idx val="8"/>
            <c:bubble3D val="0"/>
            <c:spPr>
              <a:solidFill>
                <a:srgbClr val="FFFF00"/>
              </a:solidFill>
            </c:spPr>
            <c:extLst>
              <c:ext xmlns:c16="http://schemas.microsoft.com/office/drawing/2014/chart" uri="{C3380CC4-5D6E-409C-BE32-E72D297353CC}">
                <c16:uniqueId val="{00000007-DD4B-4876-90E6-9D52E9315193}"/>
              </c:ext>
            </c:extLst>
          </c:dPt>
          <c:dPt>
            <c:idx val="9"/>
            <c:bubble3D val="0"/>
            <c:spPr>
              <a:solidFill>
                <a:srgbClr val="FFFF00"/>
              </a:solidFill>
            </c:spPr>
            <c:extLst>
              <c:ext xmlns:c16="http://schemas.microsoft.com/office/drawing/2014/chart" uri="{C3380CC4-5D6E-409C-BE32-E72D297353CC}">
                <c16:uniqueId val="{00000009-DD4B-4876-90E6-9D52E9315193}"/>
              </c:ext>
            </c:extLst>
          </c:dPt>
          <c:dPt>
            <c:idx val="10"/>
            <c:bubble3D val="0"/>
            <c:spPr>
              <a:solidFill>
                <a:srgbClr val="FF0000"/>
              </a:solidFill>
            </c:spPr>
            <c:extLst>
              <c:ext xmlns:c16="http://schemas.microsoft.com/office/drawing/2014/chart" uri="{C3380CC4-5D6E-409C-BE32-E72D297353CC}">
                <c16:uniqueId val="{0000000B-DD4B-4876-90E6-9D52E9315193}"/>
              </c:ext>
            </c:extLst>
          </c:dPt>
          <c:dPt>
            <c:idx val="11"/>
            <c:bubble3D val="0"/>
            <c:spPr>
              <a:solidFill>
                <a:srgbClr val="7030A0"/>
              </a:solidFill>
            </c:spPr>
            <c:extLst>
              <c:ext xmlns:c16="http://schemas.microsoft.com/office/drawing/2014/chart" uri="{C3380CC4-5D6E-409C-BE32-E72D297353CC}">
                <c16:uniqueId val="{0000000D-DD4B-4876-90E6-9D52E9315193}"/>
              </c:ext>
            </c:extLst>
          </c:dPt>
          <c:dPt>
            <c:idx val="12"/>
            <c:bubble3D val="0"/>
            <c:spPr>
              <a:solidFill>
                <a:srgbClr val="002060"/>
              </a:solidFill>
            </c:spPr>
            <c:extLst>
              <c:ext xmlns:c16="http://schemas.microsoft.com/office/drawing/2014/chart" uri="{C3380CC4-5D6E-409C-BE32-E72D297353CC}">
                <c16:uniqueId val="{0000000F-DD4B-4876-90E6-9D52E9315193}"/>
              </c:ext>
            </c:extLst>
          </c:dPt>
          <c:cat>
            <c:strRef>
              <c:f>'2020 6mth Forecast'!$B$16:$B$29</c:f>
              <c:strCache>
                <c:ptCount val="13"/>
                <c:pt idx="0">
                  <c:v>Food Purchases (Burgers)</c:v>
                </c:pt>
                <c:pt idx="1">
                  <c:v>Food Purchases (Hot Chips)</c:v>
                </c:pt>
                <c:pt idx="2">
                  <c:v>Returns and Refunds</c:v>
                </c:pt>
                <c:pt idx="3">
                  <c:v>Rent Expense</c:v>
                </c:pt>
                <c:pt idx="4">
                  <c:v>Utilities Expense</c:v>
                </c:pt>
                <c:pt idx="5">
                  <c:v>Insurance Expense</c:v>
                </c:pt>
                <c:pt idx="6">
                  <c:v>Marketing Expense</c:v>
                </c:pt>
                <c:pt idx="7">
                  <c:v>Salaries Expense: Shop manager (fixed cost)</c:v>
                </c:pt>
                <c:pt idx="8">
                  <c:v>Wages Expense:</c:v>
                </c:pt>
                <c:pt idx="9">
                  <c:v>Loan Repayment (Interest and Principle)</c:v>
                </c:pt>
                <c:pt idx="10">
                  <c:v>Display Cabinet Purchase</c:v>
                </c:pt>
                <c:pt idx="11">
                  <c:v>Kitchen Equipment Purchase</c:v>
                </c:pt>
                <c:pt idx="12">
                  <c:v>Franchising Cost</c:v>
                </c:pt>
              </c:strCache>
            </c:strRef>
          </c:cat>
          <c:val>
            <c:numRef>
              <c:f>'2020 6mth Forecast'!$I$16:$I$29</c:f>
              <c:numCache>
                <c:formatCode>_(* #,##0.00_);_(* \(#,##0.00\);_(* "-"??_);_(@_)</c:formatCode>
                <c:ptCount val="14"/>
                <c:pt idx="0">
                  <c:v>653707</c:v>
                </c:pt>
                <c:pt idx="1">
                  <c:v>115257.79999999999</c:v>
                </c:pt>
                <c:pt idx="2">
                  <c:v>6821</c:v>
                </c:pt>
                <c:pt idx="3">
                  <c:v>168000</c:v>
                </c:pt>
                <c:pt idx="4">
                  <c:v>50400</c:v>
                </c:pt>
                <c:pt idx="5">
                  <c:v>1800</c:v>
                </c:pt>
                <c:pt idx="6">
                  <c:v>30000</c:v>
                </c:pt>
                <c:pt idx="7">
                  <c:v>40800</c:v>
                </c:pt>
                <c:pt idx="8">
                  <c:v>440320</c:v>
                </c:pt>
                <c:pt idx="9">
                  <c:v>20198.7</c:v>
                </c:pt>
                <c:pt idx="10">
                  <c:v>0</c:v>
                </c:pt>
                <c:pt idx="11">
                  <c:v>0</c:v>
                </c:pt>
                <c:pt idx="12">
                  <c:v>0</c:v>
                </c:pt>
                <c:pt idx="13">
                  <c:v>0</c:v>
                </c:pt>
              </c:numCache>
            </c:numRef>
          </c:val>
          <c:extLst>
            <c:ext xmlns:c16="http://schemas.microsoft.com/office/drawing/2014/chart" uri="{C3380CC4-5D6E-409C-BE32-E72D297353CC}">
              <c16:uniqueId val="{00000010-DD4B-4876-90E6-9D52E931519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43266566754872"/>
          <c:y val="1.8335295106776523E-2"/>
          <c:w val="0.3751931856608019"/>
          <c:h val="0.98166470489322344"/>
        </c:manualLayout>
      </c:layout>
      <c:overlay val="0"/>
      <c:txPr>
        <a:bodyPr/>
        <a:lstStyle/>
        <a:p>
          <a:pPr rtl="0">
            <a:defRPr/>
          </a:pPr>
          <a:endParaRPr lang="en-US"/>
        </a:p>
      </c:txPr>
    </c:legend>
    <c:plotVisOnly val="1"/>
    <c:dispBlanksAs val="gap"/>
    <c:showDLblsOverMax val="0"/>
  </c:chart>
  <c:spPr>
    <a:solidFill>
      <a:schemeClr val="dk1"/>
    </a:solidFill>
    <a:ln w="19050" cap="flat" cmpd="sng" algn="ctr">
      <a:solidFill>
        <a:schemeClr val="lt1"/>
      </a:solidFill>
      <a:prstDash val="solid"/>
      <a:miter lim="800000"/>
    </a:ln>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Cash Receipts Breakdown</a:t>
            </a:r>
          </a:p>
        </c:rich>
      </c:tx>
      <c:layout>
        <c:manualLayout>
          <c:xMode val="edge"/>
          <c:yMode val="edge"/>
          <c:x val="6.8833635503224563E-2"/>
          <c:y val="4.0733671150176946E-2"/>
        </c:manualLayout>
      </c:layout>
      <c:overlay val="0"/>
    </c:title>
    <c:autoTitleDeleted val="0"/>
    <c:plotArea>
      <c:layout/>
      <c:pieChart>
        <c:varyColors val="1"/>
        <c:ser>
          <c:idx val="0"/>
          <c:order val="0"/>
          <c:explosion val="25"/>
          <c:dPt>
            <c:idx val="0"/>
            <c:bubble3D val="0"/>
            <c:spPr>
              <a:solidFill>
                <a:srgbClr val="00B050"/>
              </a:solidFill>
            </c:spPr>
            <c:extLst>
              <c:ext xmlns:c16="http://schemas.microsoft.com/office/drawing/2014/chart" uri="{C3380CC4-5D6E-409C-BE32-E72D297353CC}">
                <c16:uniqueId val="{00000001-9C1B-458A-B3CA-54736A983364}"/>
              </c:ext>
            </c:extLst>
          </c:dPt>
          <c:dPt>
            <c:idx val="2"/>
            <c:bubble3D val="0"/>
            <c:spPr>
              <a:solidFill>
                <a:srgbClr val="FF0000"/>
              </a:solidFill>
            </c:spPr>
            <c:extLst>
              <c:ext xmlns:c16="http://schemas.microsoft.com/office/drawing/2014/chart" uri="{C3380CC4-5D6E-409C-BE32-E72D297353CC}">
                <c16:uniqueId val="{00000003-9C1B-458A-B3CA-54736A983364}"/>
              </c:ext>
            </c:extLst>
          </c:dPt>
          <c:dPt>
            <c:idx val="5"/>
            <c:bubble3D val="0"/>
            <c:spPr>
              <a:solidFill>
                <a:schemeClr val="bg1"/>
              </a:solidFill>
            </c:spPr>
            <c:extLst>
              <c:ext xmlns:c16="http://schemas.microsoft.com/office/drawing/2014/chart" uri="{C3380CC4-5D6E-409C-BE32-E72D297353CC}">
                <c16:uniqueId val="{00000005-9C1B-458A-B3CA-54736A983364}"/>
              </c:ext>
            </c:extLst>
          </c:dPt>
          <c:cat>
            <c:strRef>
              <c:f>'2020 6mth Cash Budget'!$B$7:$B$11</c:f>
              <c:strCache>
                <c:ptCount val="5"/>
                <c:pt idx="0">
                  <c:v>Cash Sales (Burgers)</c:v>
                </c:pt>
                <c:pt idx="1">
                  <c:v>Credit Sales (Burgers)</c:v>
                </c:pt>
                <c:pt idx="2">
                  <c:v>Cash Sales (Hot Chips)</c:v>
                </c:pt>
                <c:pt idx="3">
                  <c:v>Credit Sales (Hot Chips)</c:v>
                </c:pt>
                <c:pt idx="4">
                  <c:v>Government Wage Subsidy</c:v>
                </c:pt>
              </c:strCache>
            </c:strRef>
          </c:cat>
          <c:val>
            <c:numRef>
              <c:f>'2020 6mth Cash Budget'!$I$7:$I$11</c:f>
              <c:numCache>
                <c:formatCode>_(* #,##0.00_);_(* \(#,##0.00\);_(* "-"??_);_(@_)</c:formatCode>
                <c:ptCount val="5"/>
                <c:pt idx="0">
                  <c:v>374227</c:v>
                </c:pt>
                <c:pt idx="1">
                  <c:v>196425</c:v>
                </c:pt>
                <c:pt idx="2">
                  <c:v>75938.799999999988</c:v>
                </c:pt>
                <c:pt idx="3">
                  <c:v>39858</c:v>
                </c:pt>
                <c:pt idx="4">
                  <c:v>0</c:v>
                </c:pt>
              </c:numCache>
            </c:numRef>
          </c:val>
          <c:extLst>
            <c:ext xmlns:c16="http://schemas.microsoft.com/office/drawing/2014/chart" uri="{C3380CC4-5D6E-409C-BE32-E72D297353CC}">
              <c16:uniqueId val="{00000006-9C1B-458A-B3CA-54736A983364}"/>
            </c:ext>
          </c:extLst>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Cash Payment Breakdown</a:t>
            </a:r>
          </a:p>
        </c:rich>
      </c:tx>
      <c:layout>
        <c:manualLayout>
          <c:xMode val="edge"/>
          <c:yMode val="edge"/>
          <c:x val="3.8794707096238952E-2"/>
          <c:y val="2.7179479340232661E-2"/>
        </c:manualLayout>
      </c:layout>
      <c:overlay val="0"/>
    </c:title>
    <c:autoTitleDeleted val="0"/>
    <c:plotArea>
      <c:layout/>
      <c:pieChart>
        <c:varyColors val="1"/>
        <c:ser>
          <c:idx val="0"/>
          <c:order val="0"/>
          <c:explosion val="25"/>
          <c:dPt>
            <c:idx val="1"/>
            <c:bubble3D val="0"/>
            <c:spPr>
              <a:solidFill>
                <a:srgbClr val="70AD47">
                  <a:lumMod val="50000"/>
                </a:srgbClr>
              </a:solidFill>
            </c:spPr>
            <c:extLst>
              <c:ext xmlns:c16="http://schemas.microsoft.com/office/drawing/2014/chart" uri="{C3380CC4-5D6E-409C-BE32-E72D297353CC}">
                <c16:uniqueId val="{00000001-574B-403F-97D3-C48F6538D696}"/>
              </c:ext>
            </c:extLst>
          </c:dPt>
          <c:dPt>
            <c:idx val="4"/>
            <c:bubble3D val="0"/>
            <c:spPr>
              <a:solidFill>
                <a:srgbClr val="00B050"/>
              </a:solidFill>
            </c:spPr>
            <c:extLst>
              <c:ext xmlns:c16="http://schemas.microsoft.com/office/drawing/2014/chart" uri="{C3380CC4-5D6E-409C-BE32-E72D297353CC}">
                <c16:uniqueId val="{00000003-574B-403F-97D3-C48F6538D696}"/>
              </c:ext>
            </c:extLst>
          </c:dPt>
          <c:dPt>
            <c:idx val="7"/>
            <c:bubble3D val="0"/>
            <c:spPr>
              <a:solidFill>
                <a:srgbClr val="C00000"/>
              </a:solidFill>
            </c:spPr>
            <c:extLst>
              <c:ext xmlns:c16="http://schemas.microsoft.com/office/drawing/2014/chart" uri="{C3380CC4-5D6E-409C-BE32-E72D297353CC}">
                <c16:uniqueId val="{00000005-574B-403F-97D3-C48F6538D696}"/>
              </c:ext>
            </c:extLst>
          </c:dPt>
          <c:dPt>
            <c:idx val="8"/>
            <c:bubble3D val="0"/>
            <c:spPr>
              <a:solidFill>
                <a:srgbClr val="FFFF00"/>
              </a:solidFill>
            </c:spPr>
            <c:extLst>
              <c:ext xmlns:c16="http://schemas.microsoft.com/office/drawing/2014/chart" uri="{C3380CC4-5D6E-409C-BE32-E72D297353CC}">
                <c16:uniqueId val="{00000007-574B-403F-97D3-C48F6538D696}"/>
              </c:ext>
            </c:extLst>
          </c:dPt>
          <c:dPt>
            <c:idx val="9"/>
            <c:bubble3D val="0"/>
            <c:spPr>
              <a:solidFill>
                <a:srgbClr val="FFFF00"/>
              </a:solidFill>
            </c:spPr>
            <c:extLst>
              <c:ext xmlns:c16="http://schemas.microsoft.com/office/drawing/2014/chart" uri="{C3380CC4-5D6E-409C-BE32-E72D297353CC}">
                <c16:uniqueId val="{00000009-574B-403F-97D3-C48F6538D696}"/>
              </c:ext>
            </c:extLst>
          </c:dPt>
          <c:dPt>
            <c:idx val="10"/>
            <c:bubble3D val="0"/>
            <c:spPr>
              <a:solidFill>
                <a:srgbClr val="FF0000"/>
              </a:solidFill>
            </c:spPr>
            <c:extLst>
              <c:ext xmlns:c16="http://schemas.microsoft.com/office/drawing/2014/chart" uri="{C3380CC4-5D6E-409C-BE32-E72D297353CC}">
                <c16:uniqueId val="{0000000B-574B-403F-97D3-C48F6538D696}"/>
              </c:ext>
            </c:extLst>
          </c:dPt>
          <c:dPt>
            <c:idx val="11"/>
            <c:bubble3D val="0"/>
            <c:spPr>
              <a:solidFill>
                <a:srgbClr val="7030A0"/>
              </a:solidFill>
            </c:spPr>
            <c:extLst>
              <c:ext xmlns:c16="http://schemas.microsoft.com/office/drawing/2014/chart" uri="{C3380CC4-5D6E-409C-BE32-E72D297353CC}">
                <c16:uniqueId val="{0000000D-574B-403F-97D3-C48F6538D696}"/>
              </c:ext>
            </c:extLst>
          </c:dPt>
          <c:dPt>
            <c:idx val="12"/>
            <c:bubble3D val="0"/>
            <c:spPr>
              <a:solidFill>
                <a:srgbClr val="002060"/>
              </a:solidFill>
            </c:spPr>
            <c:extLst>
              <c:ext xmlns:c16="http://schemas.microsoft.com/office/drawing/2014/chart" uri="{C3380CC4-5D6E-409C-BE32-E72D297353CC}">
                <c16:uniqueId val="{0000000F-574B-403F-97D3-C48F6538D696}"/>
              </c:ext>
            </c:extLst>
          </c:dPt>
          <c:cat>
            <c:strRef>
              <c:f>'2020 6mth Cash Budget'!$B$17:$B$31</c:f>
              <c:strCache>
                <c:ptCount val="13"/>
                <c:pt idx="0">
                  <c:v>Food Purchases (Burgers)</c:v>
                </c:pt>
                <c:pt idx="1">
                  <c:v>Food Purchases (Hot Chips)</c:v>
                </c:pt>
                <c:pt idx="2">
                  <c:v>Returns and Refunds</c:v>
                </c:pt>
                <c:pt idx="3">
                  <c:v>Rent Expense</c:v>
                </c:pt>
                <c:pt idx="4">
                  <c:v>Utilities Expense</c:v>
                </c:pt>
                <c:pt idx="5">
                  <c:v>Insurance Expense</c:v>
                </c:pt>
                <c:pt idx="6">
                  <c:v>Marketing Expense</c:v>
                </c:pt>
                <c:pt idx="7">
                  <c:v>Salaries Expense: Shop manager (fixed cost)</c:v>
                </c:pt>
                <c:pt idx="8">
                  <c:v>Wages Expense:</c:v>
                </c:pt>
                <c:pt idx="9">
                  <c:v>Loan Repayment (Interest and Principle)</c:v>
                </c:pt>
                <c:pt idx="10">
                  <c:v>Display Cabinet Purchase</c:v>
                </c:pt>
                <c:pt idx="11">
                  <c:v>Kitchen Equipment Purchase</c:v>
                </c:pt>
                <c:pt idx="12">
                  <c:v>Franchising Cost</c:v>
                </c:pt>
              </c:strCache>
            </c:strRef>
          </c:cat>
          <c:val>
            <c:numRef>
              <c:f>'2020 6mth Cash Budget'!$I$17:$I$31</c:f>
              <c:numCache>
                <c:formatCode>_(* #,##0.00_);_(* \(#,##0.00\);_(* "-"??_);_(@_)</c:formatCode>
                <c:ptCount val="15"/>
                <c:pt idx="0">
                  <c:v>188003</c:v>
                </c:pt>
                <c:pt idx="1">
                  <c:v>33381.25</c:v>
                </c:pt>
                <c:pt idx="2">
                  <c:v>2247</c:v>
                </c:pt>
                <c:pt idx="3">
                  <c:v>168000</c:v>
                </c:pt>
                <c:pt idx="4">
                  <c:v>27720</c:v>
                </c:pt>
                <c:pt idx="5">
                  <c:v>1800</c:v>
                </c:pt>
                <c:pt idx="6">
                  <c:v>10000</c:v>
                </c:pt>
                <c:pt idx="7">
                  <c:v>40800</c:v>
                </c:pt>
                <c:pt idx="8">
                  <c:v>302080</c:v>
                </c:pt>
                <c:pt idx="9">
                  <c:v>20198.7</c:v>
                </c:pt>
                <c:pt idx="10">
                  <c:v>0</c:v>
                </c:pt>
                <c:pt idx="11">
                  <c:v>0</c:v>
                </c:pt>
                <c:pt idx="12">
                  <c:v>0</c:v>
                </c:pt>
                <c:pt idx="13">
                  <c:v>0</c:v>
                </c:pt>
                <c:pt idx="14">
                  <c:v>0</c:v>
                </c:pt>
              </c:numCache>
            </c:numRef>
          </c:val>
          <c:extLst>
            <c:ext xmlns:c16="http://schemas.microsoft.com/office/drawing/2014/chart" uri="{C3380CC4-5D6E-409C-BE32-E72D297353CC}">
              <c16:uniqueId val="{00000010-574B-403F-97D3-C48F6538D69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43266566754872"/>
          <c:y val="1.8335295106776523E-2"/>
          <c:w val="0.3751931856608019"/>
          <c:h val="0.98166470489322344"/>
        </c:manualLayout>
      </c:layout>
      <c:overlay val="0"/>
      <c:txPr>
        <a:bodyPr/>
        <a:lstStyle/>
        <a:p>
          <a:pPr rtl="0">
            <a:defRPr/>
          </a:pPr>
          <a:endParaRPr lang="en-US"/>
        </a:p>
      </c:txPr>
    </c:legend>
    <c:plotVisOnly val="1"/>
    <c:dispBlanksAs val="gap"/>
    <c:showDLblsOverMax val="0"/>
  </c:chart>
  <c:spPr>
    <a:solidFill>
      <a:schemeClr val="dk1"/>
    </a:solidFill>
    <a:ln w="19050" cap="flat" cmpd="sng" algn="ctr">
      <a:solidFill>
        <a:schemeClr val="lt1"/>
      </a:solidFill>
      <a:prstDash val="solid"/>
      <a:miter lim="800000"/>
    </a:ln>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Monthly Inventory Movements</a:t>
            </a:r>
          </a:p>
        </c:rich>
      </c:tx>
      <c:overlay val="0"/>
    </c:title>
    <c:autoTitleDeleted val="0"/>
    <c:plotArea>
      <c:layout/>
      <c:barChart>
        <c:barDir val="col"/>
        <c:grouping val="clustered"/>
        <c:varyColors val="0"/>
        <c:ser>
          <c:idx val="0"/>
          <c:order val="0"/>
          <c:tx>
            <c:strRef>
              <c:f>'2020 6mth Inventory Rpt'!$B$8</c:f>
              <c:strCache>
                <c:ptCount val="1"/>
                <c:pt idx="0">
                  <c:v>Purchases</c:v>
                </c:pt>
              </c:strCache>
            </c:strRef>
          </c:tx>
          <c:invertIfNegative val="0"/>
          <c:cat>
            <c:strRef>
              <c:f>'2020 6mth Inventory Rpt'!$C$5:$H$5</c:f>
              <c:strCache>
                <c:ptCount val="6"/>
                <c:pt idx="0">
                  <c:v>Jan</c:v>
                </c:pt>
                <c:pt idx="1">
                  <c:v>Feb</c:v>
                </c:pt>
                <c:pt idx="2">
                  <c:v>Mar</c:v>
                </c:pt>
                <c:pt idx="3">
                  <c:v>Apr</c:v>
                </c:pt>
                <c:pt idx="4">
                  <c:v>May</c:v>
                </c:pt>
                <c:pt idx="5">
                  <c:v>Jun</c:v>
                </c:pt>
              </c:strCache>
            </c:strRef>
          </c:cat>
          <c:val>
            <c:numRef>
              <c:f>'2020 6mth Inventory Rpt'!$C$8:$H$8</c:f>
              <c:numCache>
                <c:formatCode>_(* #,##0.00_);_(* \(#,##0.00\);_(* "-"??_);_(@_)</c:formatCode>
                <c:ptCount val="6"/>
                <c:pt idx="0">
                  <c:v>123811.65</c:v>
                </c:pt>
                <c:pt idx="1">
                  <c:v>97572.6</c:v>
                </c:pt>
                <c:pt idx="2">
                  <c:v>0</c:v>
                </c:pt>
                <c:pt idx="3">
                  <c:v>0</c:v>
                </c:pt>
                <c:pt idx="4">
                  <c:v>0</c:v>
                </c:pt>
                <c:pt idx="5">
                  <c:v>0</c:v>
                </c:pt>
              </c:numCache>
            </c:numRef>
          </c:val>
          <c:extLst>
            <c:ext xmlns:c16="http://schemas.microsoft.com/office/drawing/2014/chart" uri="{C3380CC4-5D6E-409C-BE32-E72D297353CC}">
              <c16:uniqueId val="{00000000-0057-4758-95D7-4D0B42CA1462}"/>
            </c:ext>
          </c:extLst>
        </c:ser>
        <c:ser>
          <c:idx val="1"/>
          <c:order val="1"/>
          <c:tx>
            <c:strRef>
              <c:f>'2020 6mth Inventory Rpt'!$B$9</c:f>
              <c:strCache>
                <c:ptCount val="1"/>
                <c:pt idx="0">
                  <c:v>Cost of Sales</c:v>
                </c:pt>
              </c:strCache>
            </c:strRef>
          </c:tx>
          <c:invertIfNegative val="0"/>
          <c:cat>
            <c:strRef>
              <c:f>'2020 6mth Inventory Rpt'!$C$5:$H$5</c:f>
              <c:strCache>
                <c:ptCount val="6"/>
                <c:pt idx="0">
                  <c:v>Jan</c:v>
                </c:pt>
                <c:pt idx="1">
                  <c:v>Feb</c:v>
                </c:pt>
                <c:pt idx="2">
                  <c:v>Mar</c:v>
                </c:pt>
                <c:pt idx="3">
                  <c:v>Apr</c:v>
                </c:pt>
                <c:pt idx="4">
                  <c:v>May</c:v>
                </c:pt>
                <c:pt idx="5">
                  <c:v>Jun</c:v>
                </c:pt>
              </c:strCache>
            </c:strRef>
          </c:cat>
          <c:val>
            <c:numRef>
              <c:f>'2020 6mth Inventory Rpt'!$C$9:$H$9</c:f>
              <c:numCache>
                <c:formatCode>_(* #,##0.00_);_(* \(#,##0.00\);_(* "-"??_);_(@_)</c:formatCode>
                <c:ptCount val="6"/>
                <c:pt idx="0">
                  <c:v>121716.6</c:v>
                </c:pt>
                <c:pt idx="1">
                  <c:v>130096.8</c:v>
                </c:pt>
                <c:pt idx="2">
                  <c:v>0</c:v>
                </c:pt>
                <c:pt idx="3">
                  <c:v>0</c:v>
                </c:pt>
                <c:pt idx="4">
                  <c:v>0</c:v>
                </c:pt>
                <c:pt idx="5">
                  <c:v>0</c:v>
                </c:pt>
              </c:numCache>
            </c:numRef>
          </c:val>
          <c:extLst>
            <c:ext xmlns:c16="http://schemas.microsoft.com/office/drawing/2014/chart" uri="{C3380CC4-5D6E-409C-BE32-E72D297353CC}">
              <c16:uniqueId val="{00000001-0057-4758-95D7-4D0B42CA1462}"/>
            </c:ext>
          </c:extLst>
        </c:ser>
        <c:dLbls>
          <c:showLegendKey val="0"/>
          <c:showVal val="0"/>
          <c:showCatName val="0"/>
          <c:showSerName val="0"/>
          <c:showPercent val="0"/>
          <c:showBubbleSize val="0"/>
        </c:dLbls>
        <c:gapWidth val="150"/>
        <c:axId val="80089856"/>
        <c:axId val="80091392"/>
      </c:barChart>
      <c:catAx>
        <c:axId val="80089856"/>
        <c:scaling>
          <c:orientation val="minMax"/>
        </c:scaling>
        <c:delete val="0"/>
        <c:axPos val="b"/>
        <c:numFmt formatCode="General" sourceLinked="0"/>
        <c:majorTickMark val="out"/>
        <c:minorTickMark val="none"/>
        <c:tickLblPos val="nextTo"/>
        <c:crossAx val="80091392"/>
        <c:crosses val="autoZero"/>
        <c:auto val="1"/>
        <c:lblAlgn val="ctr"/>
        <c:lblOffset val="100"/>
        <c:noMultiLvlLbl val="0"/>
      </c:catAx>
      <c:valAx>
        <c:axId val="80091392"/>
        <c:scaling>
          <c:orientation val="minMax"/>
        </c:scaling>
        <c:delete val="0"/>
        <c:axPos val="l"/>
        <c:majorGridlines/>
        <c:numFmt formatCode="_(* #,##0.00_);_(* \(#,##0.00\);_(* &quot;-&quot;??_);_(@_)" sourceLinked="1"/>
        <c:majorTickMark val="out"/>
        <c:minorTickMark val="none"/>
        <c:tickLblPos val="nextTo"/>
        <c:crossAx val="800898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Sales Data by Servings</a:t>
            </a:r>
          </a:p>
        </c:rich>
      </c:tx>
      <c:overlay val="0"/>
    </c:title>
    <c:autoTitleDeleted val="0"/>
    <c:plotArea>
      <c:layout>
        <c:manualLayout>
          <c:layoutTarget val="inner"/>
          <c:xMode val="edge"/>
          <c:yMode val="edge"/>
          <c:x val="8.0515088890663389E-2"/>
          <c:y val="0.19034451757494847"/>
          <c:w val="0.61248492744981542"/>
          <c:h val="0.56902248365249464"/>
        </c:manualLayout>
      </c:layout>
      <c:lineChart>
        <c:grouping val="standard"/>
        <c:varyColors val="0"/>
        <c:ser>
          <c:idx val="0"/>
          <c:order val="0"/>
          <c:tx>
            <c:strRef>
              <c:f>'2020 Sales'!$D$7</c:f>
              <c:strCache>
                <c:ptCount val="1"/>
                <c:pt idx="0">
                  <c:v>TOTAL Servings of Burgers</c:v>
                </c:pt>
              </c:strCache>
            </c:strRef>
          </c:tx>
          <c:cat>
            <c:strRef>
              <c:f>'2020 Sales'!$E$6:$P$6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'2020 Sales'!$E$7:$P$7</c:f>
              <c:numCache>
                <c:formatCode>#,##0</c:formatCode>
                <c:ptCount val="12"/>
                <c:pt idx="0">
                  <c:v>25841</c:v>
                </c:pt>
                <c:pt idx="1">
                  <c:v>27620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F01-42C7-B018-5A71E577E368}"/>
            </c:ext>
          </c:extLst>
        </c:ser>
        <c:ser>
          <c:idx val="1"/>
          <c:order val="1"/>
          <c:tx>
            <c:strRef>
              <c:f>'2020 Sales'!$D$8</c:f>
              <c:strCache>
                <c:ptCount val="1"/>
                <c:pt idx="0">
                  <c:v>TOTAL Servings of Hot Chips</c:v>
                </c:pt>
              </c:strCache>
            </c:strRef>
          </c:tx>
          <c:cat>
            <c:strRef>
              <c:f>'2020 Sales'!$E$6:$P$6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'2020 Sales'!$E$8:$P$8</c:f>
              <c:numCache>
                <c:formatCode>#,##0</c:formatCode>
                <c:ptCount val="12"/>
                <c:pt idx="0">
                  <c:v>13109</c:v>
                </c:pt>
                <c:pt idx="1">
                  <c:v>14012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F01-42C7-B018-5A71E577E368}"/>
            </c:ext>
          </c:extLst>
        </c:ser>
        <c:dLbls>
          <c:showLegendKey val="0"/>
          <c:showVal val="0"/>
          <c:showCatName val="0"/>
          <c:showSerName val="0"/>
          <c:showPercent val="0"/>
          <c:showBubbleSize val="0"/>
        </c:dLbls>
        <c:marker val="1"/>
        <c:smooth val="0"/>
        <c:axId val="81119104"/>
        <c:axId val="81120640"/>
      </c:lineChart>
      <c:catAx>
        <c:axId val="81119104"/>
        <c:scaling>
          <c:orientation val="minMax"/>
        </c:scaling>
        <c:delete val="0"/>
        <c:axPos val="b"/>
        <c:numFmt formatCode="General" sourceLinked="0"/>
        <c:majorTickMark val="out"/>
        <c:minorTickMark val="none"/>
        <c:tickLblPos val="nextTo"/>
        <c:crossAx val="81120640"/>
        <c:crosses val="autoZero"/>
        <c:auto val="1"/>
        <c:lblAlgn val="ctr"/>
        <c:lblOffset val="100"/>
        <c:noMultiLvlLbl val="0"/>
      </c:catAx>
      <c:valAx>
        <c:axId val="81120640"/>
        <c:scaling>
          <c:orientation val="minMax"/>
        </c:scaling>
        <c:delete val="0"/>
        <c:axPos val="l"/>
        <c:majorGridlines/>
        <c:numFmt formatCode="#,##0" sourceLinked="1"/>
        <c:majorTickMark val="out"/>
        <c:minorTickMark val="none"/>
        <c:tickLblPos val="nextTo"/>
        <c:crossAx val="81119104"/>
        <c:crosses val="autoZero"/>
        <c:crossBetween val="between"/>
      </c:valAx>
    </c:plotArea>
    <c:legend>
      <c:legendPos val="r"/>
      <c:layout>
        <c:manualLayout>
          <c:xMode val="edge"/>
          <c:yMode val="edge"/>
          <c:x val="0.69495779069326491"/>
          <c:y val="0.48825914651738828"/>
          <c:w val="0.30308443495394916"/>
          <c:h val="0.1636018581907787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barChart>
        <c:barDir val="bar"/>
        <c:grouping val="clustered"/>
        <c:varyColors val="0"/>
        <c:ser>
          <c:idx val="0"/>
          <c:order val="0"/>
          <c:invertIfNegative val="0"/>
          <c:dPt>
            <c:idx val="3"/>
            <c:invertIfNegative val="0"/>
            <c:bubble3D val="0"/>
            <c:spPr>
              <a:solidFill>
                <a:srgbClr val="FF0000"/>
              </a:solidFill>
            </c:spPr>
            <c:extLst>
              <c:ext xmlns:c16="http://schemas.microsoft.com/office/drawing/2014/chart" uri="{C3380CC4-5D6E-409C-BE32-E72D297353CC}">
                <c16:uniqueId val="{00000001-889D-4705-A6E9-27C859097473}"/>
              </c:ext>
            </c:extLst>
          </c:dPt>
          <c:cat>
            <c:strRef>
              <c:f>'(HIDE) Data Validation'!$D$82:$D$85</c:f>
              <c:strCache>
                <c:ptCount val="4"/>
                <c:pt idx="0">
                  <c:v>Investor Capital</c:v>
                </c:pt>
                <c:pt idx="1">
                  <c:v>Bank Loan</c:v>
                </c:pt>
                <c:pt idx="2">
                  <c:v>Personal Capital</c:v>
                </c:pt>
                <c:pt idx="3">
                  <c:v>Still required</c:v>
                </c:pt>
              </c:strCache>
            </c:strRef>
          </c:cat>
          <c:val>
            <c:numRef>
              <c:f>'(HIDE) Data Validation'!$E$82:$E$85</c:f>
              <c:numCache>
                <c:formatCode>_("$"* #,##0_);_("$"* \(#,##0\);_("$"* "-"??_);_(@_)</c:formatCode>
                <c:ptCount val="4"/>
                <c:pt idx="0">
                  <c:v>0</c:v>
                </c:pt>
                <c:pt idx="1">
                  <c:v>50000</c:v>
                </c:pt>
                <c:pt idx="2">
                  <c:v>100000</c:v>
                </c:pt>
                <c:pt idx="3">
                  <c:v>275865</c:v>
                </c:pt>
              </c:numCache>
            </c:numRef>
          </c:val>
          <c:extLst>
            <c:ext xmlns:c16="http://schemas.microsoft.com/office/drawing/2014/chart" uri="{C3380CC4-5D6E-409C-BE32-E72D297353CC}">
              <c16:uniqueId val="{00000002-889D-4705-A6E9-27C859097473}"/>
            </c:ext>
          </c:extLst>
        </c:ser>
        <c:dLbls>
          <c:showLegendKey val="0"/>
          <c:showVal val="0"/>
          <c:showCatName val="0"/>
          <c:showSerName val="0"/>
          <c:showPercent val="0"/>
          <c:showBubbleSize val="0"/>
        </c:dLbls>
        <c:gapWidth val="150"/>
        <c:axId val="127936768"/>
        <c:axId val="127935232"/>
      </c:barChart>
      <c:valAx>
        <c:axId val="127935232"/>
        <c:scaling>
          <c:orientation val="minMax"/>
        </c:scaling>
        <c:delete val="0"/>
        <c:axPos val="b"/>
        <c:majorGridlines/>
        <c:numFmt formatCode="_(&quot;$&quot;* #,##0_);_(&quot;$&quot;* \(#,##0\);_(&quot;$&quot;* &quot;-&quot;??_);_(@_)" sourceLinked="1"/>
        <c:majorTickMark val="out"/>
        <c:minorTickMark val="none"/>
        <c:tickLblPos val="nextTo"/>
        <c:crossAx val="127936768"/>
        <c:crosses val="autoZero"/>
        <c:crossBetween val="between"/>
      </c:valAx>
      <c:catAx>
        <c:axId val="127936768"/>
        <c:scaling>
          <c:orientation val="minMax"/>
        </c:scaling>
        <c:delete val="0"/>
        <c:axPos val="l"/>
        <c:numFmt formatCode="General" sourceLinked="0"/>
        <c:majorTickMark val="out"/>
        <c:minorTickMark val="none"/>
        <c:tickLblPos val="nextTo"/>
        <c:crossAx val="127935232"/>
        <c:crosses val="autoZero"/>
        <c:auto val="1"/>
        <c:lblAlgn val="ctr"/>
        <c:lblOffset val="100"/>
        <c:noMultiLvlLbl val="0"/>
      </c:catAx>
    </c:plotArea>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Credit</a:t>
            </a:r>
            <a:r>
              <a:rPr lang="en-AU" baseline="0"/>
              <a:t> Sales and Cash receipts from Credit Sales</a:t>
            </a:r>
          </a:p>
        </c:rich>
      </c:tx>
      <c:overlay val="1"/>
    </c:title>
    <c:autoTitleDeleted val="0"/>
    <c:plotArea>
      <c:layout>
        <c:manualLayout>
          <c:layoutTarget val="inner"/>
          <c:xMode val="edge"/>
          <c:yMode val="edge"/>
          <c:x val="0.10135131587996306"/>
          <c:y val="0.14517699685049207"/>
          <c:w val="0.82515049656674666"/>
          <c:h val="0.61870936191871384"/>
        </c:manualLayout>
      </c:layout>
      <c:lineChart>
        <c:grouping val="standard"/>
        <c:varyColors val="0"/>
        <c:ser>
          <c:idx val="0"/>
          <c:order val="0"/>
          <c:tx>
            <c:v>Credit Sales</c:v>
          </c:tx>
          <c:cat>
            <c:strRef>
              <c:f>'2020 Schedule of AC'!$D$6:$O$6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'2020 Schedule of AC'!$D$23:$O$23</c:f>
              <c:numCache>
                <c:formatCode>General</c:formatCode>
                <c:ptCount val="12"/>
                <c:pt idx="0">
                  <c:v>143029.20000000001</c:v>
                </c:pt>
                <c:pt idx="1">
                  <c:v>93253.8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9AA-4E81-B981-F83B9EF15732}"/>
            </c:ext>
          </c:extLst>
        </c:ser>
        <c:ser>
          <c:idx val="1"/>
          <c:order val="1"/>
          <c:tx>
            <c:v>Cash Receipts from Credit Sales</c:v>
          </c:tx>
          <c:cat>
            <c:strRef>
              <c:f>'2020 Schedule of AC'!$D$6:$O$6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'2020 Schedule of AC'!$D$22:$O$22</c:f>
              <c:numCache>
                <c:formatCode>_(* #,##0.00_);_(* \(#,##0.00\);_(* "-"??_);_(@_)</c:formatCode>
                <c:ptCount val="12"/>
                <c:pt idx="0">
                  <c:v>133177.44</c:v>
                </c:pt>
                <c:pt idx="1">
                  <c:v>133074.12</c:v>
                </c:pt>
                <c:pt idx="2">
                  <c:v>89535.66</c:v>
                </c:pt>
                <c:pt idx="3">
                  <c:v>27976.14</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9AA-4E81-B981-F83B9EF15732}"/>
            </c:ext>
          </c:extLst>
        </c:ser>
        <c:dLbls>
          <c:showLegendKey val="0"/>
          <c:showVal val="0"/>
          <c:showCatName val="0"/>
          <c:showSerName val="0"/>
          <c:showPercent val="0"/>
          <c:showBubbleSize val="0"/>
        </c:dLbls>
        <c:marker val="1"/>
        <c:smooth val="0"/>
        <c:axId val="130467328"/>
        <c:axId val="130468864"/>
      </c:lineChart>
      <c:catAx>
        <c:axId val="130467328"/>
        <c:scaling>
          <c:orientation val="minMax"/>
        </c:scaling>
        <c:delete val="0"/>
        <c:axPos val="b"/>
        <c:numFmt formatCode="General" sourceLinked="0"/>
        <c:majorTickMark val="out"/>
        <c:minorTickMark val="none"/>
        <c:tickLblPos val="nextTo"/>
        <c:crossAx val="130468864"/>
        <c:crosses val="autoZero"/>
        <c:auto val="1"/>
        <c:lblAlgn val="ctr"/>
        <c:lblOffset val="100"/>
        <c:noMultiLvlLbl val="0"/>
      </c:catAx>
      <c:valAx>
        <c:axId val="130468864"/>
        <c:scaling>
          <c:orientation val="minMax"/>
        </c:scaling>
        <c:delete val="0"/>
        <c:axPos val="l"/>
        <c:majorGridlines/>
        <c:numFmt formatCode="General" sourceLinked="1"/>
        <c:majorTickMark val="out"/>
        <c:minorTickMark val="none"/>
        <c:tickLblPos val="nextTo"/>
        <c:crossAx val="130467328"/>
        <c:crosses val="autoZero"/>
        <c:crossBetween val="between"/>
      </c:valAx>
    </c:plotArea>
    <c:legend>
      <c:legendPos val="r"/>
      <c:layout>
        <c:manualLayout>
          <c:xMode val="edge"/>
          <c:yMode val="edge"/>
          <c:x val="5.4138056967663927E-3"/>
          <c:y val="0.90141881213378772"/>
          <c:w val="0.98081937853737922"/>
          <c:h val="9.7488095910222977E-2"/>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Cash Receipts Breakdown</a:t>
            </a:r>
          </a:p>
        </c:rich>
      </c:tx>
      <c:layout>
        <c:manualLayout>
          <c:xMode val="edge"/>
          <c:yMode val="edge"/>
          <c:x val="6.8833635503224563E-2"/>
          <c:y val="4.0733671150176946E-2"/>
        </c:manualLayout>
      </c:layout>
      <c:overlay val="0"/>
    </c:title>
    <c:autoTitleDeleted val="0"/>
    <c:plotArea>
      <c:layout/>
      <c:pieChart>
        <c:varyColors val="1"/>
        <c:ser>
          <c:idx val="0"/>
          <c:order val="0"/>
          <c:explosion val="25"/>
          <c:dPt>
            <c:idx val="0"/>
            <c:bubble3D val="0"/>
            <c:spPr>
              <a:solidFill>
                <a:srgbClr val="00B050"/>
              </a:solidFill>
            </c:spPr>
            <c:extLst>
              <c:ext xmlns:c16="http://schemas.microsoft.com/office/drawing/2014/chart" uri="{C3380CC4-5D6E-409C-BE32-E72D297353CC}">
                <c16:uniqueId val="{00000001-9C1B-458A-B3CA-54736A983364}"/>
              </c:ext>
            </c:extLst>
          </c:dPt>
          <c:dPt>
            <c:idx val="2"/>
            <c:bubble3D val="0"/>
            <c:spPr>
              <a:solidFill>
                <a:srgbClr val="FF0000"/>
              </a:solidFill>
            </c:spPr>
            <c:extLst>
              <c:ext xmlns:c16="http://schemas.microsoft.com/office/drawing/2014/chart" uri="{C3380CC4-5D6E-409C-BE32-E72D297353CC}">
                <c16:uniqueId val="{00000003-9C1B-458A-B3CA-54736A983364}"/>
              </c:ext>
            </c:extLst>
          </c:dPt>
          <c:dPt>
            <c:idx val="5"/>
            <c:bubble3D val="0"/>
            <c:spPr>
              <a:solidFill>
                <a:schemeClr val="bg1"/>
              </a:solidFill>
            </c:spPr>
            <c:extLst>
              <c:ext xmlns:c16="http://schemas.microsoft.com/office/drawing/2014/chart" uri="{C3380CC4-5D6E-409C-BE32-E72D297353CC}">
                <c16:uniqueId val="{00000005-9C1B-458A-B3CA-54736A983364}"/>
              </c:ext>
            </c:extLst>
          </c:dPt>
          <c:cat>
            <c:strRef>
              <c:f>'2020 Cash Budget'!$B$7:$B$11</c:f>
              <c:strCache>
                <c:ptCount val="5"/>
                <c:pt idx="0">
                  <c:v>Cash Sales (Burgers)</c:v>
                </c:pt>
                <c:pt idx="1">
                  <c:v>Cash from Credit Sales (Burgers)</c:v>
                </c:pt>
                <c:pt idx="2">
                  <c:v>Cash Sales (Hot Chips)</c:v>
                </c:pt>
                <c:pt idx="3">
                  <c:v>Cash from Credit Sales (Hot Chips)</c:v>
                </c:pt>
                <c:pt idx="4">
                  <c:v>Government Wage Subsidy</c:v>
                </c:pt>
              </c:strCache>
            </c:strRef>
          </c:cat>
          <c:val>
            <c:numRef>
              <c:f>'2020 Cash Budget'!$O$7:$O$11</c:f>
              <c:numCache>
                <c:formatCode>_(* #,##0.00_);_(* \(#,##0.00\);_(* "-"??_);_(@_)</c:formatCode>
                <c:ptCount val="5"/>
                <c:pt idx="0">
                  <c:v>374227</c:v>
                </c:pt>
                <c:pt idx="1">
                  <c:v>319027.20000000007</c:v>
                </c:pt>
                <c:pt idx="2">
                  <c:v>75938.799999999988</c:v>
                </c:pt>
                <c:pt idx="3">
                  <c:v>64736.159999999996</c:v>
                </c:pt>
                <c:pt idx="4">
                  <c:v>0</c:v>
                </c:pt>
              </c:numCache>
            </c:numRef>
          </c:val>
          <c:extLst>
            <c:ext xmlns:c16="http://schemas.microsoft.com/office/drawing/2014/chart" uri="{C3380CC4-5D6E-409C-BE32-E72D297353CC}">
              <c16:uniqueId val="{00000006-9C1B-458A-B3CA-54736A983364}"/>
            </c:ext>
          </c:extLst>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Cash Payment Breakdown</a:t>
            </a:r>
          </a:p>
        </c:rich>
      </c:tx>
      <c:layout>
        <c:manualLayout>
          <c:xMode val="edge"/>
          <c:yMode val="edge"/>
          <c:x val="3.8794707096238952E-2"/>
          <c:y val="2.7179479340232661E-2"/>
        </c:manualLayout>
      </c:layout>
      <c:overlay val="0"/>
    </c:title>
    <c:autoTitleDeleted val="0"/>
    <c:plotArea>
      <c:layout/>
      <c:pieChart>
        <c:varyColors val="1"/>
        <c:ser>
          <c:idx val="0"/>
          <c:order val="0"/>
          <c:explosion val="25"/>
          <c:dPt>
            <c:idx val="1"/>
            <c:bubble3D val="0"/>
            <c:spPr>
              <a:solidFill>
                <a:srgbClr val="70AD47">
                  <a:lumMod val="50000"/>
                </a:srgbClr>
              </a:solidFill>
            </c:spPr>
            <c:extLst>
              <c:ext xmlns:c16="http://schemas.microsoft.com/office/drawing/2014/chart" uri="{C3380CC4-5D6E-409C-BE32-E72D297353CC}">
                <c16:uniqueId val="{00000001-574B-403F-97D3-C48F6538D696}"/>
              </c:ext>
            </c:extLst>
          </c:dPt>
          <c:dPt>
            <c:idx val="4"/>
            <c:bubble3D val="0"/>
            <c:spPr>
              <a:solidFill>
                <a:srgbClr val="00B050"/>
              </a:solidFill>
            </c:spPr>
            <c:extLst>
              <c:ext xmlns:c16="http://schemas.microsoft.com/office/drawing/2014/chart" uri="{C3380CC4-5D6E-409C-BE32-E72D297353CC}">
                <c16:uniqueId val="{00000003-574B-403F-97D3-C48F6538D696}"/>
              </c:ext>
            </c:extLst>
          </c:dPt>
          <c:dPt>
            <c:idx val="7"/>
            <c:bubble3D val="0"/>
            <c:spPr>
              <a:solidFill>
                <a:srgbClr val="C00000"/>
              </a:solidFill>
            </c:spPr>
            <c:extLst>
              <c:ext xmlns:c16="http://schemas.microsoft.com/office/drawing/2014/chart" uri="{C3380CC4-5D6E-409C-BE32-E72D297353CC}">
                <c16:uniqueId val="{00000005-574B-403F-97D3-C48F6538D696}"/>
              </c:ext>
            </c:extLst>
          </c:dPt>
          <c:dPt>
            <c:idx val="8"/>
            <c:bubble3D val="0"/>
            <c:spPr>
              <a:solidFill>
                <a:srgbClr val="FFFF00"/>
              </a:solidFill>
            </c:spPr>
            <c:extLst>
              <c:ext xmlns:c16="http://schemas.microsoft.com/office/drawing/2014/chart" uri="{C3380CC4-5D6E-409C-BE32-E72D297353CC}">
                <c16:uniqueId val="{00000007-574B-403F-97D3-C48F6538D696}"/>
              </c:ext>
            </c:extLst>
          </c:dPt>
          <c:dPt>
            <c:idx val="9"/>
            <c:bubble3D val="0"/>
            <c:spPr>
              <a:solidFill>
                <a:srgbClr val="FFFF00"/>
              </a:solidFill>
            </c:spPr>
            <c:extLst>
              <c:ext xmlns:c16="http://schemas.microsoft.com/office/drawing/2014/chart" uri="{C3380CC4-5D6E-409C-BE32-E72D297353CC}">
                <c16:uniqueId val="{00000009-574B-403F-97D3-C48F6538D696}"/>
              </c:ext>
            </c:extLst>
          </c:dPt>
          <c:dPt>
            <c:idx val="10"/>
            <c:bubble3D val="0"/>
            <c:spPr>
              <a:solidFill>
                <a:srgbClr val="FF0000"/>
              </a:solidFill>
            </c:spPr>
            <c:extLst>
              <c:ext xmlns:c16="http://schemas.microsoft.com/office/drawing/2014/chart" uri="{C3380CC4-5D6E-409C-BE32-E72D297353CC}">
                <c16:uniqueId val="{0000000B-574B-403F-97D3-C48F6538D696}"/>
              </c:ext>
            </c:extLst>
          </c:dPt>
          <c:dPt>
            <c:idx val="11"/>
            <c:bubble3D val="0"/>
            <c:spPr>
              <a:solidFill>
                <a:srgbClr val="7030A0"/>
              </a:solidFill>
            </c:spPr>
            <c:extLst>
              <c:ext xmlns:c16="http://schemas.microsoft.com/office/drawing/2014/chart" uri="{C3380CC4-5D6E-409C-BE32-E72D297353CC}">
                <c16:uniqueId val="{0000000D-574B-403F-97D3-C48F6538D696}"/>
              </c:ext>
            </c:extLst>
          </c:dPt>
          <c:dPt>
            <c:idx val="12"/>
            <c:bubble3D val="0"/>
            <c:spPr>
              <a:solidFill>
                <a:srgbClr val="002060"/>
              </a:solidFill>
            </c:spPr>
            <c:extLst>
              <c:ext xmlns:c16="http://schemas.microsoft.com/office/drawing/2014/chart" uri="{C3380CC4-5D6E-409C-BE32-E72D297353CC}">
                <c16:uniqueId val="{0000000F-574B-403F-97D3-C48F6538D696}"/>
              </c:ext>
            </c:extLst>
          </c:dPt>
          <c:cat>
            <c:strRef>
              <c:f>'2020 Cash Budget'!$B$17:$B$31</c:f>
              <c:strCache>
                <c:ptCount val="13"/>
                <c:pt idx="0">
                  <c:v>Food Purchases (Burgers)</c:v>
                </c:pt>
                <c:pt idx="1">
                  <c:v>Food Purchases (Hot Chips)</c:v>
                </c:pt>
                <c:pt idx="2">
                  <c:v>Returns and Refunds</c:v>
                </c:pt>
                <c:pt idx="3">
                  <c:v>Rent Expense</c:v>
                </c:pt>
                <c:pt idx="4">
                  <c:v>Utilities Expense</c:v>
                </c:pt>
                <c:pt idx="5">
                  <c:v>Insurance Expense</c:v>
                </c:pt>
                <c:pt idx="6">
                  <c:v>Marketing Expense</c:v>
                </c:pt>
                <c:pt idx="7">
                  <c:v>Salaries Expense: Shop manager (fixed cost)</c:v>
                </c:pt>
                <c:pt idx="8">
                  <c:v>Wages Expense:</c:v>
                </c:pt>
                <c:pt idx="9">
                  <c:v>Loan Repayment (Interest and Principle)</c:v>
                </c:pt>
                <c:pt idx="10">
                  <c:v>Display Cabinet Purchases</c:v>
                </c:pt>
                <c:pt idx="11">
                  <c:v>Kitchen Equipment Purchases</c:v>
                </c:pt>
                <c:pt idx="12">
                  <c:v>Franchising Cost</c:v>
                </c:pt>
              </c:strCache>
            </c:strRef>
          </c:cat>
          <c:val>
            <c:numRef>
              <c:f>'2020 Cash Budget'!$O$17:$O$31</c:f>
              <c:numCache>
                <c:formatCode>_(* #,##0.00_);_(* \(#,##0.00\);_(* "-"??_);_(@_)</c:formatCode>
                <c:ptCount val="15"/>
                <c:pt idx="0">
                  <c:v>188003</c:v>
                </c:pt>
                <c:pt idx="1">
                  <c:v>33381.25</c:v>
                </c:pt>
                <c:pt idx="2">
                  <c:v>2247</c:v>
                </c:pt>
                <c:pt idx="3">
                  <c:v>336000</c:v>
                </c:pt>
                <c:pt idx="4">
                  <c:v>32760</c:v>
                </c:pt>
                <c:pt idx="5">
                  <c:v>3600</c:v>
                </c:pt>
                <c:pt idx="6">
                  <c:v>10000</c:v>
                </c:pt>
                <c:pt idx="7">
                  <c:v>81600</c:v>
                </c:pt>
                <c:pt idx="8">
                  <c:v>230400</c:v>
                </c:pt>
                <c:pt idx="9">
                  <c:v>40397.399999999994</c:v>
                </c:pt>
                <c:pt idx="10">
                  <c:v>0</c:v>
                </c:pt>
                <c:pt idx="11">
                  <c:v>0</c:v>
                </c:pt>
                <c:pt idx="12">
                  <c:v>0</c:v>
                </c:pt>
                <c:pt idx="13">
                  <c:v>0</c:v>
                </c:pt>
                <c:pt idx="14">
                  <c:v>0</c:v>
                </c:pt>
              </c:numCache>
            </c:numRef>
          </c:val>
          <c:extLst>
            <c:ext xmlns:c16="http://schemas.microsoft.com/office/drawing/2014/chart" uri="{C3380CC4-5D6E-409C-BE32-E72D297353CC}">
              <c16:uniqueId val="{00000010-574B-403F-97D3-C48F6538D69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43266566754872"/>
          <c:y val="1.8335295106776523E-2"/>
          <c:w val="0.3751931856608019"/>
          <c:h val="0.98166470489322344"/>
        </c:manualLayout>
      </c:layout>
      <c:overlay val="0"/>
      <c:txPr>
        <a:bodyPr/>
        <a:lstStyle/>
        <a:p>
          <a:pPr rtl="0">
            <a:defRPr/>
          </a:pPr>
          <a:endParaRPr lang="en-US"/>
        </a:p>
      </c:txPr>
    </c:legend>
    <c:plotVisOnly val="1"/>
    <c:dispBlanksAs val="gap"/>
    <c:showDLblsOverMax val="0"/>
  </c:chart>
  <c:spPr>
    <a:solidFill>
      <a:schemeClr val="dk1"/>
    </a:solidFill>
    <a:ln w="19050" cap="flat" cmpd="sng" algn="ctr">
      <a:solidFill>
        <a:schemeClr val="lt1"/>
      </a:solidFill>
      <a:prstDash val="solid"/>
      <a:miter lim="800000"/>
    </a:ln>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Monthly Inventory Movements</a:t>
            </a:r>
          </a:p>
        </c:rich>
      </c:tx>
      <c:overlay val="0"/>
    </c:title>
    <c:autoTitleDeleted val="0"/>
    <c:plotArea>
      <c:layout/>
      <c:barChart>
        <c:barDir val="col"/>
        <c:grouping val="clustered"/>
        <c:varyColors val="0"/>
        <c:ser>
          <c:idx val="0"/>
          <c:order val="0"/>
          <c:tx>
            <c:strRef>
              <c:f>'2020 Inventory Rpt'!$B$7</c:f>
              <c:strCache>
                <c:ptCount val="1"/>
                <c:pt idx="0">
                  <c:v> Purchases </c:v>
                </c:pt>
              </c:strCache>
            </c:strRef>
          </c:tx>
          <c:invertIfNegative val="0"/>
          <c:cat>
            <c:strRef>
              <c:f>'2020 Inventory Rpt'!$C$4:$N$4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'2020 Inventory Rpt'!$C$7:$N$7</c:f>
              <c:numCache>
                <c:formatCode>_(* #,##0.00_);_(* \(#,##0.00\);_(* "-"??_);_(@_)</c:formatCode>
                <c:ptCount val="12"/>
                <c:pt idx="0">
                  <c:v>123811.65</c:v>
                </c:pt>
                <c:pt idx="1">
                  <c:v>97572.6</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57-4758-95D7-4D0B42CA1462}"/>
            </c:ext>
          </c:extLst>
        </c:ser>
        <c:ser>
          <c:idx val="1"/>
          <c:order val="1"/>
          <c:tx>
            <c:strRef>
              <c:f>'2020 Inventory Rpt'!$B$8</c:f>
              <c:strCache>
                <c:ptCount val="1"/>
                <c:pt idx="0">
                  <c:v> Cost of Sales </c:v>
                </c:pt>
              </c:strCache>
            </c:strRef>
          </c:tx>
          <c:invertIfNegative val="0"/>
          <c:cat>
            <c:strRef>
              <c:f>'2020 Inventory Rpt'!$C$4:$N$4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'2020 Inventory Rpt'!$C$8:$N$8</c:f>
              <c:numCache>
                <c:formatCode>_(* #,##0.00_);_(* \(#,##0.00\);_(* "-"??_);_(@_)</c:formatCode>
                <c:ptCount val="12"/>
                <c:pt idx="0">
                  <c:v>121716.6</c:v>
                </c:pt>
                <c:pt idx="1">
                  <c:v>130096.8</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057-4758-95D7-4D0B42CA1462}"/>
            </c:ext>
          </c:extLst>
        </c:ser>
        <c:dLbls>
          <c:showLegendKey val="0"/>
          <c:showVal val="0"/>
          <c:showCatName val="0"/>
          <c:showSerName val="0"/>
          <c:showPercent val="0"/>
          <c:showBubbleSize val="0"/>
        </c:dLbls>
        <c:gapWidth val="150"/>
        <c:axId val="130647168"/>
        <c:axId val="130648704"/>
      </c:barChart>
      <c:catAx>
        <c:axId val="130647168"/>
        <c:scaling>
          <c:orientation val="minMax"/>
        </c:scaling>
        <c:delete val="0"/>
        <c:axPos val="b"/>
        <c:numFmt formatCode="General" sourceLinked="0"/>
        <c:majorTickMark val="out"/>
        <c:minorTickMark val="none"/>
        <c:tickLblPos val="nextTo"/>
        <c:crossAx val="130648704"/>
        <c:crosses val="autoZero"/>
        <c:auto val="1"/>
        <c:lblAlgn val="ctr"/>
        <c:lblOffset val="100"/>
        <c:noMultiLvlLbl val="0"/>
      </c:catAx>
      <c:valAx>
        <c:axId val="130648704"/>
        <c:scaling>
          <c:orientation val="minMax"/>
        </c:scaling>
        <c:delete val="0"/>
        <c:axPos val="l"/>
        <c:majorGridlines/>
        <c:numFmt formatCode="_(* #,##0.00_);_(* \(#,##0.00\);_(* &quot;-&quot;??_);_(@_)" sourceLinked="1"/>
        <c:majorTickMark val="out"/>
        <c:minorTickMark val="none"/>
        <c:tickLblPos val="nextTo"/>
        <c:crossAx val="130647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Gross</a:t>
            </a:r>
            <a:r>
              <a:rPr lang="en-AU" baseline="0"/>
              <a:t> Profits vs Total Expenses</a:t>
            </a:r>
          </a:p>
        </c:rich>
      </c:tx>
      <c:overlay val="1"/>
    </c:title>
    <c:autoTitleDeleted val="0"/>
    <c:plotArea>
      <c:layout>
        <c:manualLayout>
          <c:layoutTarget val="inner"/>
          <c:xMode val="edge"/>
          <c:yMode val="edge"/>
          <c:x val="0.2801038600269084"/>
          <c:y val="0.18217909719896325"/>
          <c:w val="0.42862097159748896"/>
          <c:h val="0.76529434699998866"/>
        </c:manualLayout>
      </c:layout>
      <c:pieChart>
        <c:varyColors val="1"/>
        <c:ser>
          <c:idx val="0"/>
          <c:order val="0"/>
          <c:dPt>
            <c:idx val="0"/>
            <c:bubble3D val="0"/>
            <c:explosion val="8"/>
            <c:spPr>
              <a:solidFill>
                <a:srgbClr val="00B050"/>
              </a:solidFill>
            </c:spPr>
            <c:extLst>
              <c:ext xmlns:c16="http://schemas.microsoft.com/office/drawing/2014/chart" uri="{C3380CC4-5D6E-409C-BE32-E72D297353CC}">
                <c16:uniqueId val="{00000001-72F9-4B33-AD3C-EEEC2DE1EB25}"/>
              </c:ext>
            </c:extLst>
          </c:dPt>
          <c:dPt>
            <c:idx val="1"/>
            <c:bubble3D val="0"/>
            <c:explosion val="13"/>
            <c:extLst>
              <c:ext xmlns:c16="http://schemas.microsoft.com/office/drawing/2014/chart" uri="{C3380CC4-5D6E-409C-BE32-E72D297353CC}">
                <c16:uniqueId val="{00000003-72F9-4B33-AD3C-EEEC2DE1EB25}"/>
              </c:ext>
            </c:extLst>
          </c:dPt>
          <c:dPt>
            <c:idx val="2"/>
            <c:bubble3D val="0"/>
            <c:explosion val="5"/>
            <c:extLst>
              <c:ext xmlns:c16="http://schemas.microsoft.com/office/drawing/2014/chart" uri="{C3380CC4-5D6E-409C-BE32-E72D297353CC}">
                <c16:uniqueId val="{00000003-749A-415E-92D5-1D5ECC9DE9E6}"/>
              </c:ext>
            </c:extLst>
          </c:dPt>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('2020 Inc Statement'!$B$12,'2020 Inc Statement'!$B$15,'2020 Inc Statement'!$B$33)</c:f>
              <c:strCache>
                <c:ptCount val="3"/>
                <c:pt idx="0">
                  <c:v>Gross Profit</c:v>
                </c:pt>
                <c:pt idx="1">
                  <c:v>Government Wage Subsidy</c:v>
                </c:pt>
                <c:pt idx="2">
                  <c:v>Total Expenses</c:v>
                </c:pt>
              </c:strCache>
            </c:strRef>
          </c:cat>
          <c:val>
            <c:numRef>
              <c:f>('2020 Inc Statement'!$E$12,'2020 Inc Statement'!$E$15,'2020 Inc Statement'!$E$33)</c:f>
              <c:numCache>
                <c:formatCode>_(* #,##0.00_);_(* \(#,##0.00\);_(* "-"??_);_(@_)</c:formatCode>
                <c:ptCount val="3"/>
                <c:pt idx="0">
                  <c:v>432388.4</c:v>
                </c:pt>
                <c:pt idx="1">
                  <c:v>0</c:v>
                </c:pt>
                <c:pt idx="2">
                  <c:v>711040</c:v>
                </c:pt>
              </c:numCache>
            </c:numRef>
          </c:val>
          <c:extLst>
            <c:ext xmlns:c16="http://schemas.microsoft.com/office/drawing/2014/chart" uri="{C3380CC4-5D6E-409C-BE32-E72D297353CC}">
              <c16:uniqueId val="{00000004-72F9-4B33-AD3C-EEEC2DE1EB25}"/>
            </c:ext>
          </c:extLst>
        </c:ser>
        <c:dLbls>
          <c:showLegendKey val="0"/>
          <c:showVal val="1"/>
          <c:showCatName val="1"/>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Expenses Breakdown</a:t>
            </a:r>
          </a:p>
        </c:rich>
      </c:tx>
      <c:layout>
        <c:manualLayout>
          <c:xMode val="edge"/>
          <c:yMode val="edge"/>
          <c:x val="0.21696401565586396"/>
          <c:y val="3.3021616591585583E-2"/>
        </c:manualLayout>
      </c:layout>
      <c:overlay val="0"/>
    </c:title>
    <c:autoTitleDeleted val="0"/>
    <c:plotArea>
      <c:layout/>
      <c:pieChart>
        <c:varyColors val="1"/>
        <c:ser>
          <c:idx val="0"/>
          <c:order val="0"/>
          <c:explosion val="25"/>
          <c:dPt>
            <c:idx val="6"/>
            <c:bubble3D val="0"/>
            <c:spPr>
              <a:solidFill>
                <a:srgbClr val="FF0000"/>
              </a:solidFill>
            </c:spPr>
            <c:extLst>
              <c:ext xmlns:c16="http://schemas.microsoft.com/office/drawing/2014/chart" uri="{C3380CC4-5D6E-409C-BE32-E72D297353CC}">
                <c16:uniqueId val="{00000001-6A7A-4F7A-9160-C81CC09F7AF1}"/>
              </c:ext>
            </c:extLst>
          </c:dPt>
          <c:cat>
            <c:strRef>
              <c:f>'2020 Inc Statement'!$B$18:$B$30</c:f>
              <c:strCache>
                <c:ptCount val="11"/>
                <c:pt idx="0">
                  <c:v>Rent Expense</c:v>
                </c:pt>
                <c:pt idx="1">
                  <c:v>Utilities Expense</c:v>
                </c:pt>
                <c:pt idx="2">
                  <c:v>Insurance Expense</c:v>
                </c:pt>
                <c:pt idx="3">
                  <c:v>Marketing Expense</c:v>
                </c:pt>
                <c:pt idx="4">
                  <c:v>Salaries Expense</c:v>
                </c:pt>
                <c:pt idx="5">
                  <c:v>Wages Expense</c:v>
                </c:pt>
                <c:pt idx="6">
                  <c:v>Depreciation: Kitchen</c:v>
                </c:pt>
                <c:pt idx="7">
                  <c:v>Depreciation: Display Cabinets</c:v>
                </c:pt>
                <c:pt idx="8">
                  <c:v>Depreciation: Cool Room</c:v>
                </c:pt>
                <c:pt idx="9">
                  <c:v>Depreciation: Vehicle</c:v>
                </c:pt>
                <c:pt idx="10">
                  <c:v>Franchising Expense</c:v>
                </c:pt>
              </c:strCache>
            </c:strRef>
          </c:cat>
          <c:val>
            <c:numRef>
              <c:f>'2020 Inc Statement'!$C$18:$C$30</c:f>
              <c:numCache>
                <c:formatCode>_(* #,##0.00_);_(* \(#,##0.00\);_(* "-"??_);_(@_)</c:formatCode>
                <c:ptCount val="13"/>
                <c:pt idx="0">
                  <c:v>336000</c:v>
                </c:pt>
                <c:pt idx="1">
                  <c:v>25200</c:v>
                </c:pt>
                <c:pt idx="2">
                  <c:v>3600</c:v>
                </c:pt>
                <c:pt idx="3">
                  <c:v>10000</c:v>
                </c:pt>
                <c:pt idx="4">
                  <c:v>81600</c:v>
                </c:pt>
                <c:pt idx="5">
                  <c:v>240640</c:v>
                </c:pt>
                <c:pt idx="6">
                  <c:v>11000</c:v>
                </c:pt>
                <c:pt idx="7">
                  <c:v>3000</c:v>
                </c:pt>
                <c:pt idx="8">
                  <c:v>0</c:v>
                </c:pt>
                <c:pt idx="9">
                  <c:v>0</c:v>
                </c:pt>
                <c:pt idx="10">
                  <c:v>0</c:v>
                </c:pt>
                <c:pt idx="11">
                  <c:v>0</c:v>
                </c:pt>
                <c:pt idx="12">
                  <c:v>0</c:v>
                </c:pt>
              </c:numCache>
            </c:numRef>
          </c:val>
          <c:extLst>
            <c:ext xmlns:c16="http://schemas.microsoft.com/office/drawing/2014/chart" uri="{C3380CC4-5D6E-409C-BE32-E72D297353CC}">
              <c16:uniqueId val="{00000002-6A7A-4F7A-9160-C81CC09F7AF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1885860667874424"/>
          <c:y val="3.0322684463863856E-2"/>
          <c:w val="0.2696576534379107"/>
          <c:h val="0.95027025434156254"/>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Current Assets </a:t>
            </a:r>
          </a:p>
          <a:p>
            <a:pPr>
              <a:defRPr/>
            </a:pPr>
            <a:r>
              <a:rPr lang="en-AU"/>
              <a:t>vs </a:t>
            </a:r>
          </a:p>
          <a:p>
            <a:pPr>
              <a:defRPr/>
            </a:pPr>
            <a:r>
              <a:rPr lang="en-AU"/>
              <a:t>Non-Current Assets</a:t>
            </a:r>
          </a:p>
        </c:rich>
      </c:tx>
      <c:layout>
        <c:manualLayout>
          <c:xMode val="edge"/>
          <c:yMode val="edge"/>
          <c:x val="2.4604712440906937E-2"/>
          <c:y val="4.8085094209763757E-2"/>
        </c:manualLayout>
      </c:layout>
      <c:overlay val="1"/>
    </c:title>
    <c:autoTitleDeleted val="0"/>
    <c:plotArea>
      <c:layout>
        <c:manualLayout>
          <c:layoutTarget val="inner"/>
          <c:xMode val="edge"/>
          <c:yMode val="edge"/>
          <c:x val="0.24553194989872879"/>
          <c:y val="0.12004600407561178"/>
          <c:w val="0.52283378552736992"/>
          <c:h val="0.87995399592438817"/>
        </c:manualLayout>
      </c:layout>
      <c:pieChart>
        <c:varyColors val="1"/>
        <c:ser>
          <c:idx val="4"/>
          <c:order val="4"/>
          <c:dPt>
            <c:idx val="0"/>
            <c:bubble3D val="0"/>
            <c:explosion val="16"/>
            <c:extLst>
              <c:ext xmlns:c16="http://schemas.microsoft.com/office/drawing/2014/chart" uri="{C3380CC4-5D6E-409C-BE32-E72D297353CC}">
                <c16:uniqueId val="{00000000-BB57-4794-9092-73E190D1CE86}"/>
              </c:ext>
            </c:extLst>
          </c:dPt>
          <c:dPt>
            <c:idx val="1"/>
            <c:bubble3D val="0"/>
            <c:explosion val="19"/>
            <c:extLst>
              <c:ext xmlns:c16="http://schemas.microsoft.com/office/drawing/2014/chart" uri="{C3380CC4-5D6E-409C-BE32-E72D297353CC}">
                <c16:uniqueId val="{00000001-BB57-4794-9092-73E190D1CE86}"/>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('2020 Bal Sheet'!$B$11,'2020 Bal Sheet'!$B$22)</c:f>
              <c:strCache>
                <c:ptCount val="2"/>
                <c:pt idx="0">
                  <c:v>Total Current Assets</c:v>
                </c:pt>
                <c:pt idx="1">
                  <c:v>Total Non-Current Assets</c:v>
                </c:pt>
              </c:strCache>
            </c:strRef>
          </c:cat>
          <c:val>
            <c:numRef>
              <c:f>('2020 Bal Sheet'!$E$11,'2020 Bal Sheet'!$E$22)</c:f>
              <c:numCache>
                <c:formatCode>_(* #,##0.00_);_(* \(#,##0.00\);_(* "-"??_);_(@_)</c:formatCode>
                <c:ptCount val="2"/>
                <c:pt idx="0">
                  <c:v>35393.870000000003</c:v>
                </c:pt>
                <c:pt idx="1">
                  <c:v>164945.81</c:v>
                </c:pt>
              </c:numCache>
            </c:numRef>
          </c:val>
          <c:extLst>
            <c:ext xmlns:c16="http://schemas.microsoft.com/office/drawing/2014/chart" uri="{C3380CC4-5D6E-409C-BE32-E72D297353CC}">
              <c16:uniqueId val="{00000002-BB57-4794-9092-73E190D1CE86}"/>
            </c:ext>
          </c:extLst>
        </c:ser>
        <c:ser>
          <c:idx val="2"/>
          <c:order val="2"/>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Sheet'!$B$11,'2019 Bal Sheet'!$B$22)</c:f>
              <c:strCache>
                <c:ptCount val="2"/>
                <c:pt idx="0">
                  <c:v>Total Current Assets</c:v>
                </c:pt>
                <c:pt idx="1">
                  <c:v>Total Non-Current Assets</c:v>
                </c:pt>
              </c:strCache>
            </c:strRef>
          </c:cat>
          <c:val>
            <c:numRef>
              <c:f>('2019 Bal Sheet'!$E$11,'2019 Bal Sheet'!$E$22)</c:f>
              <c:numCache>
                <c:formatCode>_(* #,##0.00_);_(* \(#,##0.00\);_(* "-"??_);_(@_)</c:formatCode>
                <c:ptCount val="2"/>
                <c:pt idx="0">
                  <c:v>460642.87</c:v>
                </c:pt>
                <c:pt idx="1">
                  <c:v>178945.81</c:v>
                </c:pt>
              </c:numCache>
            </c:numRef>
          </c:val>
          <c:extLst>
            <c:ext xmlns:c16="http://schemas.microsoft.com/office/drawing/2014/chart" uri="{C3380CC4-5D6E-409C-BE32-E72D297353CC}">
              <c16:uniqueId val="{00000003-BB57-4794-9092-73E190D1CE86}"/>
            </c:ext>
          </c:extLst>
        </c:ser>
        <c:ser>
          <c:idx val="3"/>
          <c:order val="3"/>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Sheet'!$B$11,'2019 Bal Sheet'!$B$22)</c:f>
              <c:strCache>
                <c:ptCount val="2"/>
                <c:pt idx="0">
                  <c:v>Total Current Assets</c:v>
                </c:pt>
                <c:pt idx="1">
                  <c:v>Total Non-Current Assets</c:v>
                </c:pt>
              </c:strCache>
            </c:strRef>
          </c:cat>
          <c:val>
            <c:numRef>
              <c:f>('2019 Bal Sheet'!$E$11,'2019 Bal Sheet'!$E$22)</c:f>
              <c:numCache>
                <c:formatCode>_(* #,##0.00_);_(* \(#,##0.00\);_(* "-"??_);_(@_)</c:formatCode>
                <c:ptCount val="2"/>
                <c:pt idx="0">
                  <c:v>460642.87</c:v>
                </c:pt>
                <c:pt idx="1">
                  <c:v>178945.81</c:v>
                </c:pt>
              </c:numCache>
            </c:numRef>
          </c:val>
          <c:extLst>
            <c:ext xmlns:c16="http://schemas.microsoft.com/office/drawing/2014/chart" uri="{C3380CC4-5D6E-409C-BE32-E72D297353CC}">
              <c16:uniqueId val="{00000004-BB57-4794-9092-73E190D1CE86}"/>
            </c:ext>
          </c:extLst>
        </c:ser>
        <c:ser>
          <c:idx val="1"/>
          <c:order val="1"/>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Sheet'!$B$11,'2019 Bal Sheet'!$B$22)</c:f>
              <c:strCache>
                <c:ptCount val="2"/>
                <c:pt idx="0">
                  <c:v>Total Current Assets</c:v>
                </c:pt>
                <c:pt idx="1">
                  <c:v>Total Non-Current Assets</c:v>
                </c:pt>
              </c:strCache>
            </c:strRef>
          </c:cat>
          <c:val>
            <c:numRef>
              <c:f>('2019 Bal Sheet'!$E$11,'2019 Bal Sheet'!$E$22)</c:f>
              <c:numCache>
                <c:formatCode>_(* #,##0.00_);_(* \(#,##0.00\);_(* "-"??_);_(@_)</c:formatCode>
                <c:ptCount val="2"/>
                <c:pt idx="0">
                  <c:v>460642.87</c:v>
                </c:pt>
                <c:pt idx="1">
                  <c:v>178945.81</c:v>
                </c:pt>
              </c:numCache>
            </c:numRef>
          </c:val>
          <c:extLst>
            <c:ext xmlns:c16="http://schemas.microsoft.com/office/drawing/2014/chart" uri="{C3380CC4-5D6E-409C-BE32-E72D297353CC}">
              <c16:uniqueId val="{00000005-BB57-4794-9092-73E190D1CE86}"/>
            </c:ext>
          </c:extLst>
        </c:ser>
        <c:ser>
          <c:idx val="0"/>
          <c:order val="0"/>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Sheet'!$B$11,'2019 Bal Sheet'!$B$22)</c:f>
              <c:strCache>
                <c:ptCount val="2"/>
                <c:pt idx="0">
                  <c:v>Total Current Assets</c:v>
                </c:pt>
                <c:pt idx="1">
                  <c:v>Total Non-Current Assets</c:v>
                </c:pt>
              </c:strCache>
            </c:strRef>
          </c:cat>
          <c:val>
            <c:numRef>
              <c:f>('2019 Bal Sheet'!$E$11,'2019 Bal Sheet'!$E$22)</c:f>
              <c:numCache>
                <c:formatCode>_(* #,##0.00_);_(* \(#,##0.00\);_(* "-"??_);_(@_)</c:formatCode>
                <c:ptCount val="2"/>
                <c:pt idx="0">
                  <c:v>460642.87</c:v>
                </c:pt>
                <c:pt idx="1">
                  <c:v>178945.81</c:v>
                </c:pt>
              </c:numCache>
            </c:numRef>
          </c:val>
          <c:extLst>
            <c:ext xmlns:c16="http://schemas.microsoft.com/office/drawing/2014/chart" uri="{C3380CC4-5D6E-409C-BE32-E72D297353CC}">
              <c16:uniqueId val="{00000006-BB57-4794-9092-73E190D1CE86}"/>
            </c:ext>
          </c:extLst>
        </c:ser>
        <c:dLbls>
          <c:dLblPos val="bestFit"/>
          <c:showLegendKey val="0"/>
          <c:showVal val="1"/>
          <c:showCatName val="1"/>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lgn="ctr">
              <a:defRPr/>
            </a:pPr>
            <a:r>
              <a:rPr lang="en-AU" sz="1800" b="1" i="0" baseline="0">
                <a:solidFill>
                  <a:schemeClr val="bg1"/>
                </a:solidFill>
                <a:effectLst/>
              </a:rPr>
              <a:t>Current Liabilities </a:t>
            </a:r>
            <a:endParaRPr lang="en-AU">
              <a:solidFill>
                <a:schemeClr val="bg1"/>
              </a:solidFill>
              <a:effectLst/>
            </a:endParaRPr>
          </a:p>
          <a:p>
            <a:pPr algn="ctr">
              <a:defRPr/>
            </a:pPr>
            <a:r>
              <a:rPr lang="en-AU" sz="1800" b="1" i="0" baseline="0">
                <a:solidFill>
                  <a:schemeClr val="bg1"/>
                </a:solidFill>
                <a:effectLst/>
              </a:rPr>
              <a:t>vs </a:t>
            </a:r>
            <a:endParaRPr lang="en-AU">
              <a:solidFill>
                <a:schemeClr val="bg1"/>
              </a:solidFill>
              <a:effectLst/>
            </a:endParaRPr>
          </a:p>
          <a:p>
            <a:pPr algn="ctr">
              <a:defRPr/>
            </a:pPr>
            <a:r>
              <a:rPr lang="en-AU" sz="1800" b="1" i="0" baseline="0">
                <a:solidFill>
                  <a:schemeClr val="bg1"/>
                </a:solidFill>
                <a:effectLst/>
              </a:rPr>
              <a:t>Non-Current Liabilities</a:t>
            </a:r>
            <a:endParaRPr lang="en-AU">
              <a:solidFill>
                <a:schemeClr val="bg1"/>
              </a:solidFill>
              <a:effectLst/>
            </a:endParaRPr>
          </a:p>
        </c:rich>
      </c:tx>
      <c:layout>
        <c:manualLayout>
          <c:xMode val="edge"/>
          <c:yMode val="edge"/>
          <c:x val="1.9319373882374868E-2"/>
          <c:y val="4.7679334575026121E-2"/>
        </c:manualLayout>
      </c:layout>
      <c:overlay val="1"/>
    </c:title>
    <c:autoTitleDeleted val="0"/>
    <c:plotArea>
      <c:layout>
        <c:manualLayout>
          <c:layoutTarget val="inner"/>
          <c:xMode val="edge"/>
          <c:yMode val="edge"/>
          <c:x val="0.21925595671234163"/>
          <c:y val="0.12077471618698808"/>
          <c:w val="0.53098982029857167"/>
          <c:h val="0.8792252838130119"/>
        </c:manualLayout>
      </c:layout>
      <c:pieChart>
        <c:varyColors val="1"/>
        <c:ser>
          <c:idx val="1"/>
          <c:order val="1"/>
          <c:spPr>
            <a:solidFill>
              <a:schemeClr val="accent6"/>
            </a:solidFill>
          </c:spPr>
          <c:dPt>
            <c:idx val="0"/>
            <c:bubble3D val="0"/>
            <c:explosion val="19"/>
            <c:spPr>
              <a:solidFill>
                <a:srgbClr val="FFC000"/>
              </a:solidFill>
            </c:spPr>
            <c:extLst>
              <c:ext xmlns:c16="http://schemas.microsoft.com/office/drawing/2014/chart" uri="{C3380CC4-5D6E-409C-BE32-E72D297353CC}">
                <c16:uniqueId val="{00000001-337D-4ADD-9A74-079DDB6C6C0A}"/>
              </c:ext>
            </c:extLst>
          </c:dPt>
          <c:dPt>
            <c:idx val="1"/>
            <c:bubble3D val="0"/>
            <c:extLst>
              <c:ext xmlns:c16="http://schemas.microsoft.com/office/drawing/2014/chart" uri="{C3380CC4-5D6E-409C-BE32-E72D297353CC}">
                <c16:uniqueId val="{00000002-337D-4ADD-9A74-079DDB6C6C0A}"/>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('2020 Bal Sheet'!$B$34,'2020 Bal Sheet'!$B$38)</c:f>
              <c:strCache>
                <c:ptCount val="2"/>
                <c:pt idx="0">
                  <c:v>Total Current Liabilities</c:v>
                </c:pt>
                <c:pt idx="1">
                  <c:v>Total Non-Current Liabilities</c:v>
                </c:pt>
              </c:strCache>
            </c:strRef>
          </c:cat>
          <c:val>
            <c:numRef>
              <c:f>('2020 Bal Sheet'!$E$34,'2020 Bal Sheet'!$E$38)</c:f>
              <c:numCache>
                <c:formatCode>_(* #,##0.00_);_(* \(#,##0.00\);_(* "-"??_);_(@_)</c:formatCode>
                <c:ptCount val="2"/>
                <c:pt idx="0">
                  <c:v>51180</c:v>
                </c:pt>
                <c:pt idx="1">
                  <c:v>46702.67</c:v>
                </c:pt>
              </c:numCache>
            </c:numRef>
          </c:val>
          <c:extLst>
            <c:ext xmlns:c16="http://schemas.microsoft.com/office/drawing/2014/chart" uri="{C3380CC4-5D6E-409C-BE32-E72D297353CC}">
              <c16:uniqueId val="{00000003-337D-4ADD-9A74-079DDB6C6C0A}"/>
            </c:ext>
          </c:extLst>
        </c:ser>
        <c:ser>
          <c:idx val="0"/>
          <c:order val="0"/>
          <c:dPt>
            <c:idx val="0"/>
            <c:bubble3D val="0"/>
            <c:spPr>
              <a:solidFill>
                <a:srgbClr val="FFFF00"/>
              </a:solidFill>
            </c:spPr>
            <c:extLst>
              <c:ext xmlns:c16="http://schemas.microsoft.com/office/drawing/2014/chart" uri="{C3380CC4-5D6E-409C-BE32-E72D297353CC}">
                <c16:uniqueId val="{00000005-337D-4ADD-9A74-079DDB6C6C0A}"/>
              </c:ext>
            </c:extLst>
          </c:dPt>
          <c:dPt>
            <c:idx val="1"/>
            <c:bubble3D val="0"/>
            <c:spPr>
              <a:solidFill>
                <a:srgbClr val="7030A0"/>
              </a:solidFill>
            </c:spPr>
            <c:extLst>
              <c:ext xmlns:c16="http://schemas.microsoft.com/office/drawing/2014/chart" uri="{C3380CC4-5D6E-409C-BE32-E72D297353CC}">
                <c16:uniqueId val="{00000007-337D-4ADD-9A74-079DDB6C6C0A}"/>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 Sheet'!$B$34,'2019 Bal Sheet'!$B$38)</c:f>
              <c:strCache>
                <c:ptCount val="2"/>
                <c:pt idx="0">
                  <c:v>Total Current Liabilities</c:v>
                </c:pt>
                <c:pt idx="1">
                  <c:v>Total Non-Current Liabilities</c:v>
                </c:pt>
              </c:strCache>
            </c:strRef>
          </c:cat>
          <c:val>
            <c:numRef>
              <c:f>('2019 Bal Sheet'!$E$34,'2019 Bal Sheet'!$E$38)</c:f>
              <c:numCache>
                <c:formatCode>_(* #,##0.00_);_(* \(#,##0.00\);_(* "-"??_);_(@_)</c:formatCode>
                <c:ptCount val="2"/>
                <c:pt idx="0">
                  <c:v>171380</c:v>
                </c:pt>
                <c:pt idx="1">
                  <c:v>81902.03</c:v>
                </c:pt>
              </c:numCache>
            </c:numRef>
          </c:val>
          <c:extLst>
            <c:ext xmlns:c16="http://schemas.microsoft.com/office/drawing/2014/chart" uri="{C3380CC4-5D6E-409C-BE32-E72D297353CC}">
              <c16:uniqueId val="{00000008-337D-4ADD-9A74-079DDB6C6C0A}"/>
            </c:ext>
          </c:extLst>
        </c:ser>
        <c:dLbls>
          <c:dLblPos val="bestFit"/>
          <c:showLegendKey val="0"/>
          <c:showVal val="1"/>
          <c:showCatName val="1"/>
          <c:showSerName val="0"/>
          <c:showPercent val="0"/>
          <c:showBubbleSize val="0"/>
          <c:showLeaderLines val="1"/>
        </c:dLbls>
        <c:firstSliceAng val="0"/>
      </c:pieChart>
    </c:plotArea>
    <c:legend>
      <c:legendPos val="r"/>
      <c:layout>
        <c:manualLayout>
          <c:xMode val="edge"/>
          <c:yMode val="edge"/>
          <c:x val="0.70491806492337084"/>
          <c:y val="0.80342132793121812"/>
          <c:w val="0.27226047761373484"/>
          <c:h val="0.19078194460904868"/>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Cash Payment Breakdown</a:t>
            </a:r>
          </a:p>
        </c:rich>
      </c:tx>
      <c:layout>
        <c:manualLayout>
          <c:xMode val="edge"/>
          <c:yMode val="edge"/>
          <c:x val="3.8794707096238952E-2"/>
          <c:y val="2.7179479340232661E-2"/>
        </c:manualLayout>
      </c:layout>
      <c:overlay val="0"/>
    </c:title>
    <c:autoTitleDeleted val="0"/>
    <c:plotArea>
      <c:layout/>
      <c:pieChart>
        <c:varyColors val="1"/>
        <c:ser>
          <c:idx val="0"/>
          <c:order val="0"/>
          <c:explosion val="25"/>
          <c:dPt>
            <c:idx val="4"/>
            <c:bubble3D val="0"/>
            <c:spPr>
              <a:solidFill>
                <a:srgbClr val="00B050"/>
              </a:solidFill>
            </c:spPr>
            <c:extLst>
              <c:ext xmlns:c16="http://schemas.microsoft.com/office/drawing/2014/chart" uri="{C3380CC4-5D6E-409C-BE32-E72D297353CC}">
                <c16:uniqueId val="{00000001-C31E-48BA-BF92-5BD5B982402B}"/>
              </c:ext>
            </c:extLst>
          </c:dPt>
          <c:dPt>
            <c:idx val="7"/>
            <c:bubble3D val="0"/>
            <c:spPr>
              <a:solidFill>
                <a:srgbClr val="C00000"/>
              </a:solidFill>
            </c:spPr>
            <c:extLst>
              <c:ext xmlns:c16="http://schemas.microsoft.com/office/drawing/2014/chart" uri="{C3380CC4-5D6E-409C-BE32-E72D297353CC}">
                <c16:uniqueId val="{00000003-C31E-48BA-BF92-5BD5B982402B}"/>
              </c:ext>
            </c:extLst>
          </c:dPt>
          <c:dPt>
            <c:idx val="9"/>
            <c:bubble3D val="0"/>
            <c:spPr>
              <a:solidFill>
                <a:srgbClr val="FFFF00"/>
              </a:solidFill>
            </c:spPr>
            <c:extLst>
              <c:ext xmlns:c16="http://schemas.microsoft.com/office/drawing/2014/chart" uri="{C3380CC4-5D6E-409C-BE32-E72D297353CC}">
                <c16:uniqueId val="{00000005-C31E-48BA-BF92-5BD5B982402B}"/>
              </c:ext>
            </c:extLst>
          </c:dPt>
          <c:dPt>
            <c:idx val="10"/>
            <c:bubble3D val="0"/>
            <c:spPr>
              <a:solidFill>
                <a:srgbClr val="FF0000"/>
              </a:solidFill>
            </c:spPr>
            <c:extLst>
              <c:ext xmlns:c16="http://schemas.microsoft.com/office/drawing/2014/chart" uri="{C3380CC4-5D6E-409C-BE32-E72D297353CC}">
                <c16:uniqueId val="{00000007-C31E-48BA-BF92-5BD5B982402B}"/>
              </c:ext>
            </c:extLst>
          </c:dPt>
          <c:dPt>
            <c:idx val="12"/>
            <c:bubble3D val="0"/>
            <c:spPr>
              <a:solidFill>
                <a:srgbClr val="7030A0"/>
              </a:solidFill>
            </c:spPr>
            <c:extLst>
              <c:ext xmlns:c16="http://schemas.microsoft.com/office/drawing/2014/chart" uri="{C3380CC4-5D6E-409C-BE32-E72D297353CC}">
                <c16:uniqueId val="{00000009-C31E-48BA-BF92-5BD5B982402B}"/>
              </c:ext>
            </c:extLst>
          </c:dPt>
          <c:cat>
            <c:strRef>
              <c:f>'2019 6-mth Cash Budget'!$B$16:$B$30</c:f>
              <c:strCache>
                <c:ptCount val="14"/>
                <c:pt idx="0">
                  <c:v>Startup Costs</c:v>
                </c:pt>
                <c:pt idx="1">
                  <c:v>Food Purchases</c:v>
                </c:pt>
                <c:pt idx="2">
                  <c:v>Returns and Refunds</c:v>
                </c:pt>
                <c:pt idx="3">
                  <c:v>Rent Expense</c:v>
                </c:pt>
                <c:pt idx="4">
                  <c:v>Utilities Expense</c:v>
                </c:pt>
                <c:pt idx="5">
                  <c:v>Insurance Expense</c:v>
                </c:pt>
                <c:pt idx="6">
                  <c:v>Marketing Expense</c:v>
                </c:pt>
                <c:pt idx="7">
                  <c:v>Salaries Expense: Shop manager (Fixed cost)</c:v>
                </c:pt>
                <c:pt idx="8">
                  <c:v>Wages Expense:</c:v>
                </c:pt>
                <c:pt idx="9">
                  <c:v>Loan Repayment (Interest and Principle)</c:v>
                </c:pt>
                <c:pt idx="10">
                  <c:v>Cool Room Purchase</c:v>
                </c:pt>
                <c:pt idx="11">
                  <c:v>Display Cabinet Purchases</c:v>
                </c:pt>
                <c:pt idx="12">
                  <c:v>Kitchen Equipment Purchases</c:v>
                </c:pt>
                <c:pt idx="13">
                  <c:v>Franchising Cost</c:v>
                </c:pt>
              </c:strCache>
            </c:strRef>
          </c:cat>
          <c:val>
            <c:numRef>
              <c:f>'2019 6-mth Cash Budget'!$I$16:$I$30</c:f>
              <c:numCache>
                <c:formatCode>_(* #,##0.00_);_(* \(#,##0.00\);_(* "-"??_);_(@_)</c:formatCode>
                <c:ptCount val="15"/>
                <c:pt idx="0">
                  <c:v>120000</c:v>
                </c:pt>
                <c:pt idx="1">
                  <c:v>368208</c:v>
                </c:pt>
                <c:pt idx="2">
                  <c:v>3621</c:v>
                </c:pt>
                <c:pt idx="3">
                  <c:v>140000</c:v>
                </c:pt>
                <c:pt idx="4">
                  <c:v>15600</c:v>
                </c:pt>
                <c:pt idx="5">
                  <c:v>1500</c:v>
                </c:pt>
                <c:pt idx="6">
                  <c:v>25000</c:v>
                </c:pt>
                <c:pt idx="7">
                  <c:v>34000</c:v>
                </c:pt>
                <c:pt idx="8">
                  <c:v>179200</c:v>
                </c:pt>
                <c:pt idx="9">
                  <c:v>15491.630000000001</c:v>
                </c:pt>
                <c:pt idx="10">
                  <c:v>0</c:v>
                </c:pt>
                <c:pt idx="11">
                  <c:v>12500</c:v>
                </c:pt>
                <c:pt idx="12">
                  <c:v>84000</c:v>
                </c:pt>
                <c:pt idx="13">
                  <c:v>0</c:v>
                </c:pt>
                <c:pt idx="14">
                  <c:v>0</c:v>
                </c:pt>
              </c:numCache>
            </c:numRef>
          </c:val>
          <c:extLst>
            <c:ext xmlns:c16="http://schemas.microsoft.com/office/drawing/2014/chart" uri="{C3380CC4-5D6E-409C-BE32-E72D297353CC}">
              <c16:uniqueId val="{0000000A-C31E-48BA-BF92-5BD5B982402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43266566754872"/>
          <c:y val="1.8335295106776523E-2"/>
          <c:w val="0.3751931856608019"/>
          <c:h val="0.98166470489322344"/>
        </c:manualLayout>
      </c:layout>
      <c:overlay val="0"/>
      <c:txPr>
        <a:bodyPr/>
        <a:lstStyle/>
        <a:p>
          <a:pPr rtl="0">
            <a:defRPr/>
          </a:pPr>
          <a:endParaRPr lang="en-US"/>
        </a:p>
      </c:txPr>
    </c:legend>
    <c:plotVisOnly val="1"/>
    <c:dispBlanksAs val="gap"/>
    <c:showDLblsOverMax val="0"/>
  </c:chart>
  <c:spPr>
    <a:solidFill>
      <a:schemeClr val="dk1"/>
    </a:solidFill>
    <a:ln w="19050" cap="flat" cmpd="sng" algn="ctr">
      <a:solidFill>
        <a:schemeClr val="lt1"/>
      </a:solidFill>
      <a:prstDash val="solid"/>
      <a:miter lim="800000"/>
    </a:ln>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Cash Receipts Breakdown</a:t>
            </a:r>
          </a:p>
        </c:rich>
      </c:tx>
      <c:layout>
        <c:manualLayout>
          <c:xMode val="edge"/>
          <c:yMode val="edge"/>
          <c:x val="6.8833635503224563E-2"/>
          <c:y val="4.0733671150176946E-2"/>
        </c:manualLayout>
      </c:layout>
      <c:overlay val="0"/>
    </c:title>
    <c:autoTitleDeleted val="0"/>
    <c:plotArea>
      <c:layout/>
      <c:pieChart>
        <c:varyColors val="1"/>
        <c:ser>
          <c:idx val="0"/>
          <c:order val="0"/>
          <c:explosion val="25"/>
          <c:dPt>
            <c:idx val="0"/>
            <c:bubble3D val="0"/>
            <c:spPr>
              <a:solidFill>
                <a:srgbClr val="00B050"/>
              </a:solidFill>
            </c:spPr>
            <c:extLst>
              <c:ext xmlns:c16="http://schemas.microsoft.com/office/drawing/2014/chart" uri="{C3380CC4-5D6E-409C-BE32-E72D297353CC}">
                <c16:uniqueId val="{00000001-0FC4-4211-B952-A504595EC5FC}"/>
              </c:ext>
            </c:extLst>
          </c:dPt>
          <c:cat>
            <c:strRef>
              <c:f>('2019 6-mth Cash Budget'!$B$7:$B$10,'2019 6-mth Cash Budget'!$B$38)</c:f>
              <c:strCache>
                <c:ptCount val="5"/>
                <c:pt idx="0">
                  <c:v>Bank Loan</c:v>
                </c:pt>
                <c:pt idx="1">
                  <c:v>Private Investment</c:v>
                </c:pt>
                <c:pt idx="2">
                  <c:v>Cash Sales</c:v>
                </c:pt>
                <c:pt idx="3">
                  <c:v>Credit Sales</c:v>
                </c:pt>
                <c:pt idx="4">
                  <c:v>Owner Investment</c:v>
                </c:pt>
              </c:strCache>
            </c:strRef>
          </c:cat>
          <c:val>
            <c:numRef>
              <c:f>('2019 6-mth Cash Budget'!$I$7:$I$10,'2019 6-mth Cash Budget'!$I$38)</c:f>
              <c:numCache>
                <c:formatCode>_(* #,##0.00_);_(* \(#,##0.00\);_(* "-"??_);_(@_)</c:formatCode>
                <c:ptCount val="5"/>
                <c:pt idx="0">
                  <c:v>50000</c:v>
                </c:pt>
                <c:pt idx="1">
                  <c:v>0</c:v>
                </c:pt>
                <c:pt idx="2">
                  <c:v>602511</c:v>
                </c:pt>
                <c:pt idx="3">
                  <c:v>196079.1</c:v>
                </c:pt>
                <c:pt idx="4" formatCode="_(&quot;$&quot;* #,##0.00_);_(&quot;$&quot;* \(#,##0.00\);_(&quot;$&quot;* &quot;-&quot;??_);_(@_)">
                  <c:v>100000</c:v>
                </c:pt>
              </c:numCache>
            </c:numRef>
          </c:val>
          <c:extLst>
            <c:ext xmlns:c16="http://schemas.microsoft.com/office/drawing/2014/chart" uri="{C3380CC4-5D6E-409C-BE32-E72D297353CC}">
              <c16:uniqueId val="{00000002-0FC4-4211-B952-A504595EC5FC}"/>
            </c:ext>
          </c:extLst>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Sales Data by Servings</a:t>
            </a:r>
          </a:p>
        </c:rich>
      </c:tx>
      <c:overlay val="0"/>
    </c:title>
    <c:autoTitleDeleted val="0"/>
    <c:plotArea>
      <c:layout/>
      <c:lineChart>
        <c:grouping val="standard"/>
        <c:varyColors val="0"/>
        <c:ser>
          <c:idx val="0"/>
          <c:order val="0"/>
          <c:tx>
            <c:strRef>
              <c:f>'2019 Sales Data'!$D$7</c:f>
              <c:strCache>
                <c:ptCount val="1"/>
                <c:pt idx="0">
                  <c:v>TOTAL Servings of Burgers</c:v>
                </c:pt>
              </c:strCache>
            </c:strRef>
          </c:tx>
          <c:cat>
            <c:strRef>
              <c:f>'2019 Sales Data'!$E$6:$P$6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'2019 Sales Data'!$E$7:$P$7</c:f>
              <c:numCache>
                <c:formatCode>#,##0</c:formatCode>
                <c:ptCount val="12"/>
                <c:pt idx="0">
                  <c:v>6098</c:v>
                </c:pt>
                <c:pt idx="1">
                  <c:v>10749</c:v>
                </c:pt>
                <c:pt idx="2">
                  <c:v>11992</c:v>
                </c:pt>
                <c:pt idx="3">
                  <c:v>17968</c:v>
                </c:pt>
                <c:pt idx="4">
                  <c:v>21399</c:v>
                </c:pt>
                <c:pt idx="5">
                  <c:v>17867</c:v>
                </c:pt>
                <c:pt idx="6">
                  <c:v>23916</c:v>
                </c:pt>
                <c:pt idx="7">
                  <c:v>23938</c:v>
                </c:pt>
                <c:pt idx="8">
                  <c:v>20989</c:v>
                </c:pt>
                <c:pt idx="9">
                  <c:v>27077</c:v>
                </c:pt>
                <c:pt idx="10">
                  <c:v>30534</c:v>
                </c:pt>
                <c:pt idx="11">
                  <c:v>39634</c:v>
                </c:pt>
              </c:numCache>
            </c:numRef>
          </c:val>
          <c:smooth val="0"/>
          <c:extLst>
            <c:ext xmlns:c16="http://schemas.microsoft.com/office/drawing/2014/chart" uri="{C3380CC4-5D6E-409C-BE32-E72D297353CC}">
              <c16:uniqueId val="{00000000-0991-4791-A92C-508551BC0F88}"/>
            </c:ext>
          </c:extLst>
        </c:ser>
        <c:ser>
          <c:idx val="1"/>
          <c:order val="1"/>
          <c:tx>
            <c:strRef>
              <c:f>'2019 Sales Data'!$D$8</c:f>
              <c:strCache>
                <c:ptCount val="1"/>
                <c:pt idx="0">
                  <c:v>TOTAL Servings of Hot Chips</c:v>
                </c:pt>
              </c:strCache>
            </c:strRef>
          </c:tx>
          <c:cat>
            <c:strRef>
              <c:f>'2019 Sales Data'!$E$6:$P$6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'2019 Sales Data'!$E$8:$P$8</c:f>
              <c:numCache>
                <c:formatCode>#,##0</c:formatCode>
                <c:ptCount val="12"/>
                <c:pt idx="6">
                  <c:v>12133</c:v>
                </c:pt>
                <c:pt idx="7">
                  <c:v>12144</c:v>
                </c:pt>
                <c:pt idx="8">
                  <c:v>10648</c:v>
                </c:pt>
                <c:pt idx="9">
                  <c:v>13736</c:v>
                </c:pt>
                <c:pt idx="10">
                  <c:v>15490</c:v>
                </c:pt>
                <c:pt idx="11">
                  <c:v>20106</c:v>
                </c:pt>
              </c:numCache>
            </c:numRef>
          </c:val>
          <c:smooth val="0"/>
          <c:extLst>
            <c:ext xmlns:c16="http://schemas.microsoft.com/office/drawing/2014/chart" uri="{C3380CC4-5D6E-409C-BE32-E72D297353CC}">
              <c16:uniqueId val="{00000001-0991-4791-A92C-508551BC0F88}"/>
            </c:ext>
          </c:extLst>
        </c:ser>
        <c:dLbls>
          <c:showLegendKey val="0"/>
          <c:showVal val="0"/>
          <c:showCatName val="0"/>
          <c:showSerName val="0"/>
          <c:showPercent val="0"/>
          <c:showBubbleSize val="0"/>
        </c:dLbls>
        <c:marker val="1"/>
        <c:smooth val="0"/>
        <c:axId val="129195392"/>
        <c:axId val="129275008"/>
      </c:lineChart>
      <c:catAx>
        <c:axId val="129195392"/>
        <c:scaling>
          <c:orientation val="minMax"/>
        </c:scaling>
        <c:delete val="0"/>
        <c:axPos val="b"/>
        <c:numFmt formatCode="General" sourceLinked="0"/>
        <c:majorTickMark val="out"/>
        <c:minorTickMark val="none"/>
        <c:tickLblPos val="nextTo"/>
        <c:crossAx val="129275008"/>
        <c:crosses val="autoZero"/>
        <c:auto val="1"/>
        <c:lblAlgn val="ctr"/>
        <c:lblOffset val="100"/>
        <c:noMultiLvlLbl val="0"/>
      </c:catAx>
      <c:valAx>
        <c:axId val="129275008"/>
        <c:scaling>
          <c:orientation val="minMax"/>
        </c:scaling>
        <c:delete val="0"/>
        <c:axPos val="l"/>
        <c:majorGridlines/>
        <c:numFmt formatCode="#,##0" sourceLinked="1"/>
        <c:majorTickMark val="out"/>
        <c:minorTickMark val="none"/>
        <c:tickLblPos val="nextTo"/>
        <c:crossAx val="129195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Credit</a:t>
            </a:r>
            <a:r>
              <a:rPr lang="en-AU" baseline="0"/>
              <a:t> Sales and Cash receipts from Credit Sales</a:t>
            </a:r>
          </a:p>
        </c:rich>
      </c:tx>
      <c:overlay val="1"/>
    </c:title>
    <c:autoTitleDeleted val="0"/>
    <c:plotArea>
      <c:layout>
        <c:manualLayout>
          <c:layoutTarget val="inner"/>
          <c:xMode val="edge"/>
          <c:yMode val="edge"/>
          <c:x val="0.1028655027238551"/>
          <c:y val="0.14517694846451984"/>
          <c:w val="0.85471545654758019"/>
          <c:h val="0.61870936191871384"/>
        </c:manualLayout>
      </c:layout>
      <c:lineChart>
        <c:grouping val="standard"/>
        <c:varyColors val="0"/>
        <c:ser>
          <c:idx val="1"/>
          <c:order val="0"/>
          <c:tx>
            <c:v>Credit Sales</c:v>
          </c:tx>
          <c:cat>
            <c:strRef>
              <c:f>'2019 Schedule of AC'!$D$6:$Q$6</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strCache>
            </c:strRef>
          </c:cat>
          <c:val>
            <c:numRef>
              <c:f>'2019 Schedule of AC'!$D$21:$O$21</c:f>
              <c:numCache>
                <c:formatCode>0.00</c:formatCode>
                <c:ptCount val="12"/>
                <c:pt idx="0">
                  <c:v>18294</c:v>
                </c:pt>
                <c:pt idx="1">
                  <c:v>32247</c:v>
                </c:pt>
                <c:pt idx="2">
                  <c:v>35976</c:v>
                </c:pt>
                <c:pt idx="3">
                  <c:v>53904</c:v>
                </c:pt>
                <c:pt idx="4">
                  <c:v>64197</c:v>
                </c:pt>
                <c:pt idx="5">
                  <c:v>53601</c:v>
                </c:pt>
                <c:pt idx="6">
                  <c:v>86307.6</c:v>
                </c:pt>
                <c:pt idx="7">
                  <c:v>86386.8</c:v>
                </c:pt>
                <c:pt idx="8">
                  <c:v>75744.600000000006</c:v>
                </c:pt>
                <c:pt idx="9">
                  <c:v>97714.2</c:v>
                </c:pt>
                <c:pt idx="10">
                  <c:v>110190</c:v>
                </c:pt>
                <c:pt idx="11">
                  <c:v>143029.20000000001</c:v>
                </c:pt>
              </c:numCache>
            </c:numRef>
          </c:val>
          <c:smooth val="0"/>
          <c:extLst>
            <c:ext xmlns:c16="http://schemas.microsoft.com/office/drawing/2014/chart" uri="{C3380CC4-5D6E-409C-BE32-E72D297353CC}">
              <c16:uniqueId val="{00000000-5500-4D12-8AE5-DEF41ACF6910}"/>
            </c:ext>
          </c:extLst>
        </c:ser>
        <c:ser>
          <c:idx val="0"/>
          <c:order val="1"/>
          <c:tx>
            <c:v>Cash Receipts from Credit Sales</c:v>
          </c:tx>
          <c:cat>
            <c:strRef>
              <c:f>'2019 Schedule of AC'!$D$6:$Q$6</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c:v>
                </c:pt>
                <c:pt idx="13">
                  <c:v>February</c:v>
                </c:pt>
              </c:strCache>
            </c:strRef>
          </c:cat>
          <c:val>
            <c:numRef>
              <c:f>'2019 Schedule of AC'!$D$20:$O$20</c:f>
              <c:numCache>
                <c:formatCode>_(* #,##0.00_);_(* \(#,##0.00\);_(* "-"??_);_(@_)</c:formatCode>
                <c:ptCount val="12"/>
                <c:pt idx="0">
                  <c:v>3658.8</c:v>
                </c:pt>
                <c:pt idx="1">
                  <c:v>15596.4</c:v>
                </c:pt>
                <c:pt idx="2">
                  <c:v>28806.9</c:v>
                </c:pt>
                <c:pt idx="3">
                  <c:v>38442.899999999994</c:v>
                </c:pt>
                <c:pt idx="4">
                  <c:v>50584.200000000004</c:v>
                </c:pt>
                <c:pt idx="5">
                  <c:v>58989.899999999994</c:v>
                </c:pt>
                <c:pt idx="6">
                  <c:v>63321.119999999995</c:v>
                </c:pt>
                <c:pt idx="7">
                  <c:v>76511.460000000006</c:v>
                </c:pt>
                <c:pt idx="8">
                  <c:v>84234.599999999991</c:v>
                </c:pt>
                <c:pt idx="9">
                  <c:v>83331.180000000008</c:v>
                </c:pt>
                <c:pt idx="10">
                  <c:v>93618.48000000001</c:v>
                </c:pt>
                <c:pt idx="11">
                  <c:v>113015.1</c:v>
                </c:pt>
              </c:numCache>
            </c:numRef>
          </c:val>
          <c:smooth val="0"/>
          <c:extLst>
            <c:ext xmlns:c16="http://schemas.microsoft.com/office/drawing/2014/chart" uri="{C3380CC4-5D6E-409C-BE32-E72D297353CC}">
              <c16:uniqueId val="{00000001-5500-4D12-8AE5-DEF41ACF6910}"/>
            </c:ext>
          </c:extLst>
        </c:ser>
        <c:dLbls>
          <c:showLegendKey val="0"/>
          <c:showVal val="0"/>
          <c:showCatName val="0"/>
          <c:showSerName val="0"/>
          <c:showPercent val="0"/>
          <c:showBubbleSize val="0"/>
        </c:dLbls>
        <c:marker val="1"/>
        <c:smooth val="0"/>
        <c:axId val="129334272"/>
        <c:axId val="129336064"/>
      </c:lineChart>
      <c:catAx>
        <c:axId val="129334272"/>
        <c:scaling>
          <c:orientation val="minMax"/>
        </c:scaling>
        <c:delete val="0"/>
        <c:axPos val="b"/>
        <c:numFmt formatCode="General" sourceLinked="0"/>
        <c:majorTickMark val="out"/>
        <c:minorTickMark val="none"/>
        <c:tickLblPos val="nextTo"/>
        <c:crossAx val="129336064"/>
        <c:crosses val="autoZero"/>
        <c:auto val="1"/>
        <c:lblAlgn val="ctr"/>
        <c:lblOffset val="100"/>
        <c:noMultiLvlLbl val="0"/>
      </c:catAx>
      <c:valAx>
        <c:axId val="129336064"/>
        <c:scaling>
          <c:orientation val="minMax"/>
        </c:scaling>
        <c:delete val="0"/>
        <c:axPos val="l"/>
        <c:majorGridlines/>
        <c:numFmt formatCode="#,##0" sourceLinked="0"/>
        <c:majorTickMark val="out"/>
        <c:minorTickMark val="none"/>
        <c:tickLblPos val="nextTo"/>
        <c:crossAx val="129334272"/>
        <c:crosses val="autoZero"/>
        <c:crossBetween val="between"/>
      </c:valAx>
    </c:plotArea>
    <c:legend>
      <c:legendPos val="r"/>
      <c:layout>
        <c:manualLayout>
          <c:xMode val="edge"/>
          <c:yMode val="edge"/>
          <c:x val="5.4138056967663927E-3"/>
          <c:y val="0.90141881213378772"/>
          <c:w val="0.98081937853737922"/>
          <c:h val="9.7488095910222977E-2"/>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Cash Payment Breakdown</a:t>
            </a:r>
          </a:p>
        </c:rich>
      </c:tx>
      <c:layout>
        <c:manualLayout>
          <c:xMode val="edge"/>
          <c:yMode val="edge"/>
          <c:x val="0.13698443164092902"/>
          <c:y val="2.7179518924374382E-2"/>
        </c:manualLayout>
      </c:layout>
      <c:overlay val="0"/>
    </c:title>
    <c:autoTitleDeleted val="0"/>
    <c:plotArea>
      <c:layout/>
      <c:pieChart>
        <c:varyColors val="1"/>
        <c:ser>
          <c:idx val="0"/>
          <c:order val="0"/>
          <c:explosion val="25"/>
          <c:dPt>
            <c:idx val="4"/>
            <c:bubble3D val="0"/>
            <c:spPr>
              <a:solidFill>
                <a:srgbClr val="00B050"/>
              </a:solidFill>
            </c:spPr>
            <c:extLst>
              <c:ext xmlns:c16="http://schemas.microsoft.com/office/drawing/2014/chart" uri="{C3380CC4-5D6E-409C-BE32-E72D297353CC}">
                <c16:uniqueId val="{00000001-4D3B-4538-A11C-BFBDFD4346CD}"/>
              </c:ext>
            </c:extLst>
          </c:dPt>
          <c:dPt>
            <c:idx val="7"/>
            <c:bubble3D val="0"/>
            <c:spPr>
              <a:solidFill>
                <a:srgbClr val="C00000"/>
              </a:solidFill>
            </c:spPr>
            <c:extLst>
              <c:ext xmlns:c16="http://schemas.microsoft.com/office/drawing/2014/chart" uri="{C3380CC4-5D6E-409C-BE32-E72D297353CC}">
                <c16:uniqueId val="{00000003-4D3B-4538-A11C-BFBDFD4346CD}"/>
              </c:ext>
            </c:extLst>
          </c:dPt>
          <c:dPt>
            <c:idx val="8"/>
            <c:bubble3D val="0"/>
            <c:spPr>
              <a:solidFill>
                <a:srgbClr val="C00000"/>
              </a:solidFill>
            </c:spPr>
            <c:extLst>
              <c:ext xmlns:c16="http://schemas.microsoft.com/office/drawing/2014/chart" uri="{C3380CC4-5D6E-409C-BE32-E72D297353CC}">
                <c16:uniqueId val="{00000005-4D3B-4538-A11C-BFBDFD4346CD}"/>
              </c:ext>
            </c:extLst>
          </c:dPt>
          <c:dPt>
            <c:idx val="9"/>
            <c:bubble3D val="0"/>
            <c:spPr>
              <a:solidFill>
                <a:srgbClr val="FFFF00"/>
              </a:solidFill>
            </c:spPr>
            <c:extLst>
              <c:ext xmlns:c16="http://schemas.microsoft.com/office/drawing/2014/chart" uri="{C3380CC4-5D6E-409C-BE32-E72D297353CC}">
                <c16:uniqueId val="{00000007-4D3B-4538-A11C-BFBDFD4346CD}"/>
              </c:ext>
            </c:extLst>
          </c:dPt>
          <c:dPt>
            <c:idx val="10"/>
            <c:bubble3D val="0"/>
            <c:spPr>
              <a:solidFill>
                <a:srgbClr val="FF0000"/>
              </a:solidFill>
            </c:spPr>
            <c:extLst>
              <c:ext xmlns:c16="http://schemas.microsoft.com/office/drawing/2014/chart" uri="{C3380CC4-5D6E-409C-BE32-E72D297353CC}">
                <c16:uniqueId val="{00000009-4D3B-4538-A11C-BFBDFD4346CD}"/>
              </c:ext>
            </c:extLst>
          </c:dPt>
          <c:dPt>
            <c:idx val="11"/>
            <c:bubble3D val="0"/>
            <c:spPr>
              <a:solidFill>
                <a:srgbClr val="7030A0"/>
              </a:solidFill>
            </c:spPr>
            <c:extLst>
              <c:ext xmlns:c16="http://schemas.microsoft.com/office/drawing/2014/chart" uri="{C3380CC4-5D6E-409C-BE32-E72D297353CC}">
                <c16:uniqueId val="{0000000B-4D3B-4538-A11C-BFBDFD4346CD}"/>
              </c:ext>
            </c:extLst>
          </c:dPt>
          <c:dPt>
            <c:idx val="12"/>
            <c:bubble3D val="0"/>
            <c:spPr>
              <a:solidFill>
                <a:srgbClr val="002060"/>
              </a:solidFill>
            </c:spPr>
            <c:extLst>
              <c:ext xmlns:c16="http://schemas.microsoft.com/office/drawing/2014/chart" uri="{C3380CC4-5D6E-409C-BE32-E72D297353CC}">
                <c16:uniqueId val="{0000000D-4D3B-4538-A11C-BFBDFD4346CD}"/>
              </c:ext>
            </c:extLst>
          </c:dPt>
          <c:cat>
            <c:strRef>
              <c:f>'2019 Full Cash Budget'!$B$18:$B$33</c:f>
              <c:strCache>
                <c:ptCount val="15"/>
                <c:pt idx="0">
                  <c:v>Startup Costs</c:v>
                </c:pt>
                <c:pt idx="1">
                  <c:v>Food Purchases (Burgers)</c:v>
                </c:pt>
                <c:pt idx="2">
                  <c:v>Food Purchases (Hot Chips)</c:v>
                </c:pt>
                <c:pt idx="3">
                  <c:v>Returns and Refunds</c:v>
                </c:pt>
                <c:pt idx="4">
                  <c:v>Rent Expense</c:v>
                </c:pt>
                <c:pt idx="5">
                  <c:v>Utilities Expense</c:v>
                </c:pt>
                <c:pt idx="6">
                  <c:v>Insurance Expense</c:v>
                </c:pt>
                <c:pt idx="7">
                  <c:v>Marketing Expense</c:v>
                </c:pt>
                <c:pt idx="8">
                  <c:v>Salaries Expense: Shop manager (fixed cost)</c:v>
                </c:pt>
                <c:pt idx="9">
                  <c:v>Wages Expense:</c:v>
                </c:pt>
                <c:pt idx="10">
                  <c:v>Loan Repayment (Interest and Principle)</c:v>
                </c:pt>
                <c:pt idx="11">
                  <c:v>Cool Room Purchase</c:v>
                </c:pt>
                <c:pt idx="12">
                  <c:v>Display Cabinet Purchases</c:v>
                </c:pt>
                <c:pt idx="13">
                  <c:v>Kitchen Equipment Purchases</c:v>
                </c:pt>
                <c:pt idx="14">
                  <c:v>Franchising Cost</c:v>
                </c:pt>
              </c:strCache>
            </c:strRef>
          </c:cat>
          <c:val>
            <c:numRef>
              <c:f>'2019 Full Cash Budget'!$O$18:$O$33</c:f>
              <c:numCache>
                <c:formatCode>_(* #,##0.00_);_(* \(#,##0.00\);_(* "-"??_);_(@_)</c:formatCode>
                <c:ptCount val="16"/>
                <c:pt idx="0">
                  <c:v>120000</c:v>
                </c:pt>
                <c:pt idx="1">
                  <c:v>1034485</c:v>
                </c:pt>
                <c:pt idx="2">
                  <c:v>122547.95</c:v>
                </c:pt>
                <c:pt idx="3">
                  <c:v>10601</c:v>
                </c:pt>
                <c:pt idx="4">
                  <c:v>308000</c:v>
                </c:pt>
                <c:pt idx="5">
                  <c:v>48000</c:v>
                </c:pt>
                <c:pt idx="6">
                  <c:v>3300</c:v>
                </c:pt>
                <c:pt idx="7">
                  <c:v>55000</c:v>
                </c:pt>
                <c:pt idx="8">
                  <c:v>74800</c:v>
                </c:pt>
                <c:pt idx="9">
                  <c:v>640000</c:v>
                </c:pt>
                <c:pt idx="10">
                  <c:v>35690.33</c:v>
                </c:pt>
                <c:pt idx="11">
                  <c:v>0</c:v>
                </c:pt>
                <c:pt idx="12">
                  <c:v>30000</c:v>
                </c:pt>
                <c:pt idx="13">
                  <c:v>159000</c:v>
                </c:pt>
                <c:pt idx="14">
                  <c:v>0</c:v>
                </c:pt>
                <c:pt idx="15">
                  <c:v>0</c:v>
                </c:pt>
              </c:numCache>
            </c:numRef>
          </c:val>
          <c:extLst>
            <c:ext xmlns:c16="http://schemas.microsoft.com/office/drawing/2014/chart" uri="{C3380CC4-5D6E-409C-BE32-E72D297353CC}">
              <c16:uniqueId val="{0000000E-4D3B-4538-A11C-BFBDFD4346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43266566754872"/>
          <c:y val="1.8335295106776523E-2"/>
          <c:w val="0.3751931856608019"/>
          <c:h val="0.98166470489322344"/>
        </c:manualLayout>
      </c:layout>
      <c:overlay val="0"/>
      <c:txPr>
        <a:bodyPr/>
        <a:lstStyle/>
        <a:p>
          <a:pPr rtl="0">
            <a:defRPr/>
          </a:pPr>
          <a:endParaRPr lang="en-US"/>
        </a:p>
      </c:txPr>
    </c:legend>
    <c:plotVisOnly val="1"/>
    <c:dispBlanksAs val="gap"/>
    <c:showDLblsOverMax val="0"/>
  </c:chart>
  <c:spPr>
    <a:solidFill>
      <a:schemeClr val="dk1"/>
    </a:solidFill>
    <a:ln w="19050" cap="flat" cmpd="sng" algn="ctr">
      <a:solidFill>
        <a:schemeClr val="lt1"/>
      </a:solidFill>
      <a:prstDash val="solid"/>
      <a:miter lim="800000"/>
    </a:ln>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Cash Receipts Breakdown</a:t>
            </a:r>
          </a:p>
        </c:rich>
      </c:tx>
      <c:layout>
        <c:manualLayout>
          <c:xMode val="edge"/>
          <c:yMode val="edge"/>
          <c:x val="0.3162962858292423"/>
          <c:y val="4.073369686840124E-2"/>
        </c:manualLayout>
      </c:layout>
      <c:overlay val="0"/>
    </c:title>
    <c:autoTitleDeleted val="0"/>
    <c:plotArea>
      <c:layout/>
      <c:pieChart>
        <c:varyColors val="1"/>
        <c:ser>
          <c:idx val="0"/>
          <c:order val="0"/>
          <c:explosion val="25"/>
          <c:dPt>
            <c:idx val="0"/>
            <c:bubble3D val="0"/>
            <c:spPr>
              <a:solidFill>
                <a:srgbClr val="00B050"/>
              </a:solidFill>
            </c:spPr>
            <c:extLst>
              <c:ext xmlns:c16="http://schemas.microsoft.com/office/drawing/2014/chart" uri="{C3380CC4-5D6E-409C-BE32-E72D297353CC}">
                <c16:uniqueId val="{00000001-87A7-4FB6-90D6-0DE2E811116E}"/>
              </c:ext>
            </c:extLst>
          </c:dPt>
          <c:dPt>
            <c:idx val="5"/>
            <c:bubble3D val="0"/>
            <c:spPr>
              <a:solidFill>
                <a:schemeClr val="bg1"/>
              </a:solidFill>
            </c:spPr>
            <c:extLst>
              <c:ext xmlns:c16="http://schemas.microsoft.com/office/drawing/2014/chart" uri="{C3380CC4-5D6E-409C-BE32-E72D297353CC}">
                <c16:uniqueId val="{00000003-87A7-4FB6-90D6-0DE2E811116E}"/>
              </c:ext>
            </c:extLst>
          </c:dPt>
          <c:cat>
            <c:strRef>
              <c:f>('2019 Full Cash Budget'!$B$4,'2019 Full Cash Budget'!$B$7:$B$12)</c:f>
              <c:strCache>
                <c:ptCount val="7"/>
                <c:pt idx="0">
                  <c:v>Owner Investment</c:v>
                </c:pt>
                <c:pt idx="1">
                  <c:v>Borrowing</c:v>
                </c:pt>
                <c:pt idx="2">
                  <c:v>Private Investment</c:v>
                </c:pt>
                <c:pt idx="3">
                  <c:v>Cash Sales (Burgers)</c:v>
                </c:pt>
                <c:pt idx="4">
                  <c:v>Credit Sales (Burgers)</c:v>
                </c:pt>
                <c:pt idx="5">
                  <c:v>Cash Sales (Hot Chips)</c:v>
                </c:pt>
                <c:pt idx="6">
                  <c:v>Credit Sales (Hot Chips)</c:v>
                </c:pt>
              </c:strCache>
            </c:strRef>
          </c:cat>
          <c:val>
            <c:numRef>
              <c:f>('2019 Full Cash Budget'!$O$4,'2019 Full Cash Budget'!$O$7:$O$12)</c:f>
              <c:numCache>
                <c:formatCode>_(* #,##0.00_);_(* \(#,##0.00\);_(* "-"??_);_(@_)</c:formatCode>
                <c:ptCount val="7"/>
                <c:pt idx="0" formatCode="_(&quot;$&quot;* #,##0.00_);_(&quot;$&quot;* \(#,##0.00\);_(&quot;$&quot;* &quot;-&quot;??_);_(@_)">
                  <c:v>100000</c:v>
                </c:pt>
                <c:pt idx="1">
                  <c:v>50000</c:v>
                </c:pt>
                <c:pt idx="2">
                  <c:v>0</c:v>
                </c:pt>
                <c:pt idx="3">
                  <c:v>1765127</c:v>
                </c:pt>
                <c:pt idx="4">
                  <c:v>633880.79999999993</c:v>
                </c:pt>
                <c:pt idx="5">
                  <c:v>235919.59999999998</c:v>
                </c:pt>
                <c:pt idx="6">
                  <c:v>76230.239999999991</c:v>
                </c:pt>
              </c:numCache>
            </c:numRef>
          </c:val>
          <c:extLst>
            <c:ext xmlns:c16="http://schemas.microsoft.com/office/drawing/2014/chart" uri="{C3380CC4-5D6E-409C-BE32-E72D297353CC}">
              <c16:uniqueId val="{00000004-87A7-4FB6-90D6-0DE2E811116E}"/>
            </c:ext>
          </c:extLst>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Monthly Inventory Movements</a:t>
            </a:r>
          </a:p>
        </c:rich>
      </c:tx>
      <c:overlay val="0"/>
    </c:title>
    <c:autoTitleDeleted val="0"/>
    <c:plotArea>
      <c:layout/>
      <c:barChart>
        <c:barDir val="col"/>
        <c:grouping val="clustered"/>
        <c:varyColors val="0"/>
        <c:ser>
          <c:idx val="0"/>
          <c:order val="0"/>
          <c:tx>
            <c:strRef>
              <c:f>'2019 Inventory Rpt'!$B$8</c:f>
              <c:strCache>
                <c:ptCount val="1"/>
                <c:pt idx="0">
                  <c:v>Purchases</c:v>
                </c:pt>
              </c:strCache>
            </c:strRef>
          </c:tx>
          <c:invertIfNegative val="0"/>
          <c:cat>
            <c:strRef>
              <c:f>'2019 Inventory Rpt'!$C$5:$N$5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'2019 Inventory Rpt'!$C$8:$N$8</c:f>
              <c:numCache>
                <c:formatCode>_(* #,##0.00_);_(* \(#,##0.00\);_(* "-"??_);_(@_)</c:formatCode>
                <c:ptCount val="12"/>
                <c:pt idx="0">
                  <c:v>35141</c:v>
                </c:pt>
                <c:pt idx="1">
                  <c:v>44239</c:v>
                </c:pt>
                <c:pt idx="2">
                  <c:v>53944</c:v>
                </c:pt>
                <c:pt idx="3">
                  <c:v>75303</c:v>
                </c:pt>
                <c:pt idx="4">
                  <c:v>82064</c:v>
                </c:pt>
                <c:pt idx="5">
                  <c:v>77517</c:v>
                </c:pt>
                <c:pt idx="6">
                  <c:v>116922.6</c:v>
                </c:pt>
                <c:pt idx="7">
                  <c:v>109281</c:v>
                </c:pt>
                <c:pt idx="8">
                  <c:v>106032</c:v>
                </c:pt>
                <c:pt idx="9">
                  <c:v>131609.29999999999</c:v>
                </c:pt>
                <c:pt idx="10">
                  <c:v>154537.60000000001</c:v>
                </c:pt>
                <c:pt idx="11">
                  <c:v>170442.45</c:v>
                </c:pt>
              </c:numCache>
            </c:numRef>
          </c:val>
          <c:extLst>
            <c:ext xmlns:c16="http://schemas.microsoft.com/office/drawing/2014/chart" uri="{C3380CC4-5D6E-409C-BE32-E72D297353CC}">
              <c16:uniqueId val="{00000000-6298-4EED-88C0-6C8DC5BC6E45}"/>
            </c:ext>
          </c:extLst>
        </c:ser>
        <c:ser>
          <c:idx val="1"/>
          <c:order val="1"/>
          <c:tx>
            <c:strRef>
              <c:f>'2019 Inventory Rpt'!$B$9</c:f>
              <c:strCache>
                <c:ptCount val="1"/>
                <c:pt idx="0">
                  <c:v>Cost of Sales</c:v>
                </c:pt>
              </c:strCache>
            </c:strRef>
          </c:tx>
          <c:invertIfNegative val="0"/>
          <c:cat>
            <c:strRef>
              <c:f>'2019 Inventory Rpt'!$C$5:$N$5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'2019 Inventory Rpt'!$C$9:$N$9</c:f>
              <c:numCache>
                <c:formatCode>_(* #,##0.00_);_(* \(#,##0.00\);_(* "-"??_);_(@_)</c:formatCode>
                <c:ptCount val="12"/>
                <c:pt idx="0">
                  <c:v>24392</c:v>
                </c:pt>
                <c:pt idx="1">
                  <c:v>42996</c:v>
                </c:pt>
                <c:pt idx="2">
                  <c:v>47968</c:v>
                </c:pt>
                <c:pt idx="3">
                  <c:v>71872</c:v>
                </c:pt>
                <c:pt idx="4">
                  <c:v>85596</c:v>
                </c:pt>
                <c:pt idx="5">
                  <c:v>71468</c:v>
                </c:pt>
                <c:pt idx="6">
                  <c:v>112650.2</c:v>
                </c:pt>
                <c:pt idx="7">
                  <c:v>112753.60000000001</c:v>
                </c:pt>
                <c:pt idx="8">
                  <c:v>98863.2</c:v>
                </c:pt>
                <c:pt idx="9">
                  <c:v>127538.4</c:v>
                </c:pt>
                <c:pt idx="10">
                  <c:v>143822</c:v>
                </c:pt>
                <c:pt idx="11">
                  <c:v>186684.4</c:v>
                </c:pt>
              </c:numCache>
            </c:numRef>
          </c:val>
          <c:extLst>
            <c:ext xmlns:c16="http://schemas.microsoft.com/office/drawing/2014/chart" uri="{C3380CC4-5D6E-409C-BE32-E72D297353CC}">
              <c16:uniqueId val="{00000001-6298-4EED-88C0-6C8DC5BC6E45}"/>
            </c:ext>
          </c:extLst>
        </c:ser>
        <c:dLbls>
          <c:showLegendKey val="0"/>
          <c:showVal val="0"/>
          <c:showCatName val="0"/>
          <c:showSerName val="0"/>
          <c:showPercent val="0"/>
          <c:showBubbleSize val="0"/>
        </c:dLbls>
        <c:gapWidth val="150"/>
        <c:axId val="80625024"/>
        <c:axId val="80626816"/>
      </c:barChart>
      <c:catAx>
        <c:axId val="80625024"/>
        <c:scaling>
          <c:orientation val="minMax"/>
        </c:scaling>
        <c:delete val="0"/>
        <c:axPos val="b"/>
        <c:numFmt formatCode="General" sourceLinked="0"/>
        <c:majorTickMark val="out"/>
        <c:minorTickMark val="none"/>
        <c:tickLblPos val="nextTo"/>
        <c:crossAx val="80626816"/>
        <c:crosses val="autoZero"/>
        <c:auto val="1"/>
        <c:lblAlgn val="ctr"/>
        <c:lblOffset val="100"/>
        <c:noMultiLvlLbl val="0"/>
      </c:catAx>
      <c:valAx>
        <c:axId val="80626816"/>
        <c:scaling>
          <c:orientation val="minMax"/>
        </c:scaling>
        <c:delete val="0"/>
        <c:axPos val="l"/>
        <c:majorGridlines/>
        <c:numFmt formatCode="_(* #,##0.00_);_(* \(#,##0.00\);_(* &quot;-&quot;??_);_(@_)" sourceLinked="1"/>
        <c:majorTickMark val="out"/>
        <c:minorTickMark val="none"/>
        <c:tickLblPos val="nextTo"/>
        <c:crossAx val="80625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9" fmlaLink="'(HIDE) Data Validation'!$B$49" fmlaRange="$I$2:$I$6" sel="0" val="0"/>
</file>

<file path=xl/ctrlProps/ctrlProp10.xml><?xml version="1.0" encoding="utf-8"?>
<formControlPr xmlns="http://schemas.microsoft.com/office/spreadsheetml/2009/9/main" objectType="Radio" lockText="1"/>
</file>

<file path=xl/ctrlProps/ctrlProp11.xml><?xml version="1.0" encoding="utf-8"?>
<formControlPr xmlns="http://schemas.microsoft.com/office/spreadsheetml/2009/9/main" objectType="Radio" lockText="1"/>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Radio" checked="Checked" firstButton="1" fmlaLink="'(HIDE) Data Validation'!$C$3" lockText="1"/>
</file>

<file path=xl/ctrlProps/ctrlProp14.xml><?xml version="1.0" encoding="utf-8"?>
<formControlPr xmlns="http://schemas.microsoft.com/office/spreadsheetml/2009/9/main" objectType="Radio" lockText="1"/>
</file>

<file path=xl/ctrlProps/ctrlProp15.xml><?xml version="1.0" encoding="utf-8"?>
<formControlPr xmlns="http://schemas.microsoft.com/office/spreadsheetml/2009/9/main" objectType="Radio" lockText="1"/>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Radio" checked="Checked" firstButton="1" fmlaLink="'(HIDE) Data Validation'!$D$3"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Drop" dropStyle="combo" dx="19" fmlaLink="'(HIDE) Data Validation'!$B$50" fmlaRange="$K$2:$K$7" sel="0" val="0"/>
</file>

<file path=xl/ctrlProps/ctrlProp20.xml><?xml version="1.0" encoding="utf-8"?>
<formControlPr xmlns="http://schemas.microsoft.com/office/spreadsheetml/2009/9/main" objectType="Scroll" dx="19" fmlaLink="'(HIDE) Data Validation'!$E$3" horiz="1" max="200" min="50" page="0" val="100"/>
</file>

<file path=xl/ctrlProps/ctrlProp21.xml><?xml version="1.0" encoding="utf-8"?>
<formControlPr xmlns="http://schemas.microsoft.com/office/spreadsheetml/2009/9/main" objectType="Scroll" dx="19" fmlaLink="'(HIDE) Data Validation'!$G$3" horiz="1" max="80" min="20" page="0" val="40"/>
</file>

<file path=xl/ctrlProps/ctrlProp22.xml><?xml version="1.0" encoding="utf-8"?>
<formControlPr xmlns="http://schemas.microsoft.com/office/spreadsheetml/2009/9/main" objectType="Scroll" dx="19" fmlaLink="'(HIDE) Data Validation'!$L$2" horiz="1" max="50" min="20" page="0" val="32"/>
</file>

<file path=xl/ctrlProps/ctrlProp23.xml><?xml version="1.0" encoding="utf-8"?>
<formControlPr xmlns="http://schemas.microsoft.com/office/spreadsheetml/2009/9/main" objectType="GBox"/>
</file>

<file path=xl/ctrlProps/ctrlProp24.xml><?xml version="1.0" encoding="utf-8"?>
<formControlPr xmlns="http://schemas.microsoft.com/office/spreadsheetml/2009/9/main" objectType="Radio" checked="Checked" firstButton="1" fmlaLink="'(HIDE) Data Validation'!$G$23" lockText="1"/>
</file>

<file path=xl/ctrlProps/ctrlProp25.xml><?xml version="1.0" encoding="utf-8"?>
<formControlPr xmlns="http://schemas.microsoft.com/office/spreadsheetml/2009/9/main" objectType="Radio"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Radio" firstButton="1" fmlaLink="'(HIDE) Data Validation'!$E$97"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GBox"/>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checked="Checked" lockText="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Scroll" dx="19" fmlaLink="'(HIDE) Data Validation'!$B$110" horiz="1" max="20" page="10" val="0"/>
</file>

<file path=xl/ctrlProps/ctrlProp34.xml><?xml version="1.0" encoding="utf-8"?>
<formControlPr xmlns="http://schemas.microsoft.com/office/spreadsheetml/2009/9/main" objectType="Scroll" dx="19" fmlaLink="'(HIDE) Data Validation'!$B$111" horiz="1" max="100" page="10" val="0"/>
</file>

<file path=xl/ctrlProps/ctrlProp35.xml><?xml version="1.0" encoding="utf-8"?>
<formControlPr xmlns="http://schemas.microsoft.com/office/spreadsheetml/2009/9/main" objectType="Scroll" dx="19" fmlaLink="'(HIDE) Data Validation'!$B$112" horiz="1" max="20" page="10" val="0"/>
</file>

<file path=xl/ctrlProps/ctrlProp36.xml><?xml version="1.0" encoding="utf-8"?>
<formControlPr xmlns="http://schemas.microsoft.com/office/spreadsheetml/2009/9/main" objectType="Scroll" dx="19" fmlaLink="'(HIDE) Data Validation'!$B$113" horiz="1" max="100" page="10" val="8"/>
</file>

<file path=xl/ctrlProps/ctrlProp37.xml><?xml version="1.0" encoding="utf-8"?>
<formControlPr xmlns="http://schemas.microsoft.com/office/spreadsheetml/2009/9/main" objectType="Scroll" dx="19" fmlaLink="'(HIDE) Data Validation'!$B$114" horiz="1" inc="20" max="2000" page="100" val="0"/>
</file>

<file path=xl/ctrlProps/ctrlProp38.xml><?xml version="1.0" encoding="utf-8"?>
<formControlPr xmlns="http://schemas.microsoft.com/office/spreadsheetml/2009/9/main" objectType="Scroll" dx="19" fmlaLink="'(HIDE) Data Validation'!$B$115" horiz="1" inc="2" max="100" page="10" val="100"/>
</file>

<file path=xl/ctrlProps/ctrlProp39.xml><?xml version="1.0" encoding="utf-8"?>
<formControlPr xmlns="http://schemas.microsoft.com/office/spreadsheetml/2009/9/main" objectType="Scroll" dx="19" fmlaLink="'(HIDE) Data Validation'!$B$116" horiz="1" max="200" page="10" val="0"/>
</file>

<file path=xl/ctrlProps/ctrlProp4.xml><?xml version="1.0" encoding="utf-8"?>
<formControlPr xmlns="http://schemas.microsoft.com/office/spreadsheetml/2009/9/main" objectType="Radio" firstButton="1" fmlaLink="'(HIDE) Data Validation'!$B$51" lockText="1"/>
</file>

<file path=xl/ctrlProps/ctrlProp40.xml><?xml version="1.0" encoding="utf-8"?>
<formControlPr xmlns="http://schemas.microsoft.com/office/spreadsheetml/2009/9/main" objectType="Radio" firstButton="1" fmlaLink="'(HIDE) Data Validation'!$I$33" lockText="1"/>
</file>

<file path=xl/ctrlProps/ctrlProp41.xml><?xml version="1.0" encoding="utf-8"?>
<formControlPr xmlns="http://schemas.microsoft.com/office/spreadsheetml/2009/9/main" objectType="Radio" checked="Checked" lockText="1"/>
</file>

<file path=xl/ctrlProps/ctrlProp42.xml><?xml version="1.0" encoding="utf-8"?>
<formControlPr xmlns="http://schemas.microsoft.com/office/spreadsheetml/2009/9/main" objectType="GBox"/>
</file>

<file path=xl/ctrlProps/ctrlProp43.xml><?xml version="1.0" encoding="utf-8"?>
<formControlPr xmlns="http://schemas.microsoft.com/office/spreadsheetml/2009/9/main" objectType="Radio" checked="Checked" firstButton="1" fmlaLink="'(HIDE) Data Validation'!$J$40"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GBox"/>
</file>

<file path=xl/ctrlProps/ctrlProp47.xml><?xml version="1.0" encoding="utf-8"?>
<formControlPr xmlns="http://schemas.microsoft.com/office/spreadsheetml/2009/9/main" objectType="Radio" checked="Checked" firstButton="1" fmlaLink="'(HIDE) Data Validation'!$K$47"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GBox"/>
</file>

<file path=xl/ctrlProps/ctrlProp52.xml><?xml version="1.0" encoding="utf-8"?>
<formControlPr xmlns="http://schemas.microsoft.com/office/spreadsheetml/2009/9/main" objectType="Scroll" dx="19" fmlaLink="'(HIDE) Data Validation'!$B$19" horiz="1" inc="10" max="100" min="10" page="0" val="100"/>
</file>

<file path=xl/ctrlProps/ctrlProp53.xml><?xml version="1.0" encoding="utf-8"?>
<formControlPr xmlns="http://schemas.microsoft.com/office/spreadsheetml/2009/9/main" objectType="Scroll" dx="19" fmlaLink="'(HIDE) Data Validation'!$B$20" horiz="1" inc="10" max="500" min="50" page="0" val="50"/>
</file>

<file path=xl/ctrlProps/ctrlProp54.xml><?xml version="1.0" encoding="utf-8"?>
<formControlPr xmlns="http://schemas.microsoft.com/office/spreadsheetml/2009/9/main" objectType="Scroll" dx="19" fmlaLink="'(HIDE) Data Validation'!$B$21" horiz="1" inc="10" max="2000" page="0" val="0"/>
</file>

<file path=xl/ctrlProps/ctrlProp55.xml><?xml version="1.0" encoding="utf-8"?>
<formControlPr xmlns="http://schemas.microsoft.com/office/spreadsheetml/2009/9/main" objectType="Scroll" dx="19" fmlaLink="'(HIDE) Data Validation'!$B$28" horiz="1" max="30" min="3" page="0" val="3"/>
</file>

<file path=xl/ctrlProps/ctrlProp56.xml><?xml version="1.0" encoding="utf-8"?>
<formControlPr xmlns="http://schemas.microsoft.com/office/spreadsheetml/2009/9/main" objectType="GBox"/>
</file>

<file path=xl/ctrlProps/ctrlProp57.xml><?xml version="1.0" encoding="utf-8"?>
<formControlPr xmlns="http://schemas.microsoft.com/office/spreadsheetml/2009/9/main" objectType="Radio" checked="Checked" firstButton="1" fmlaLink="'(HIDE) Data Validation'!$B$41"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lockText="1"/>
</file>

<file path=xl/ctrlProps/ctrlProp6.xml><?xml version="1.0" encoding="utf-8"?>
<formControlPr xmlns="http://schemas.microsoft.com/office/spreadsheetml/2009/9/main" objectType="Drop" dropStyle="combo" dx="19" fmlaLink="'(HIDE) Data Validation'!$B$52" fmlaRange="$M$2:$M$5" sel="0" val="0"/>
</file>

<file path=xl/ctrlProps/ctrlProp60.xml><?xml version="1.0" encoding="utf-8"?>
<formControlPr xmlns="http://schemas.microsoft.com/office/spreadsheetml/2009/9/main" objectType="Scroll" dx="19" fmlaLink="'(HIDE) Data Validation'!$C$43" horiz="1" max="80" min="30" page="5" val="40"/>
</file>

<file path=xl/ctrlProps/ctrlProp61.xml><?xml version="1.0" encoding="utf-8"?>
<formControlPr xmlns="http://schemas.microsoft.com/office/spreadsheetml/2009/9/main" objectType="Radio" checked="Checked" firstButton="1" fmlaLink="'(HIDE) Data Validation'!$G$57"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GBox"/>
</file>

<file path=xl/ctrlProps/ctrlProp66.xml><?xml version="1.0" encoding="utf-8"?>
<formControlPr xmlns="http://schemas.microsoft.com/office/spreadsheetml/2009/9/main" objectType="GBox"/>
</file>

<file path=xl/ctrlProps/ctrlProp67.xml><?xml version="1.0" encoding="utf-8"?>
<formControlPr xmlns="http://schemas.microsoft.com/office/spreadsheetml/2009/9/main" objectType="Radio" firstButton="1" fmlaLink="'(HIDE) Data Validation'!$G$67" lockText="1"/>
</file>

<file path=xl/ctrlProps/ctrlProp68.xml><?xml version="1.0" encoding="utf-8"?>
<formControlPr xmlns="http://schemas.microsoft.com/office/spreadsheetml/2009/9/main" objectType="Radio" checked="Checked" lockText="1"/>
</file>

<file path=xl/ctrlProps/ctrlProp69.xml><?xml version="1.0" encoding="utf-8"?>
<formControlPr xmlns="http://schemas.microsoft.com/office/spreadsheetml/2009/9/main" objectType="GBox"/>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Radio" checked="Checked" firstButton="1" fmlaLink="'(HIDE) Data Validation'!$G$72"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Scroll" dx="19" fmlaLink="'(HIDE) Data Validation'!$K$59" horiz="1" max="200" page="10" val="0"/>
</file>

<file path=xl/ctrlProps/ctrlProp73.xml><?xml version="1.0" encoding="utf-8"?>
<formControlPr xmlns="http://schemas.microsoft.com/office/spreadsheetml/2009/9/main" objectType="Radio" firstButton="1" fmlaLink="'(HIDE) Data Validation'!$H$87"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Radio"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file>

<file path=xl/ctrlProps/ctrlProp80.xml><?xml version="1.0" encoding="utf-8"?>
<formControlPr xmlns="http://schemas.microsoft.com/office/spreadsheetml/2009/9/main" objectType="Radio" checked="Checked" lockText="1"/>
</file>

<file path=xl/ctrlProps/ctrlProp9.xml><?xml version="1.0" encoding="utf-8"?>
<formControlPr xmlns="http://schemas.microsoft.com/office/spreadsheetml/2009/9/main" objectType="Radio" checked="Checked" firstButton="1" fmlaLink="'(HIDE) Data Validation'!$A$3"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1.jpeg"/><Relationship Id="rId4" Type="http://schemas.openxmlformats.org/officeDocument/2006/relationships/image" Target="../media/image22.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3.png"/><Relationship Id="rId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6.jpeg"/></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7.jpeg"/><Relationship Id="rId4" Type="http://schemas.openxmlformats.org/officeDocument/2006/relationships/image" Target="../media/image8.jpeg"/></Relationships>
</file>

<file path=xl/drawings/_rels/drawing3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0.jpeg"/><Relationship Id="rId1" Type="http://schemas.openxmlformats.org/officeDocument/2006/relationships/image" Target="../media/image9.jpeg"/><Relationship Id="rId5" Type="http://schemas.openxmlformats.org/officeDocument/2006/relationships/image" Target="../media/image3.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5" Type="http://schemas.openxmlformats.org/officeDocument/2006/relationships/image" Target="../media/image3.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chart" Target="../charts/chart2.xml"/><Relationship Id="rId4"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 Id="rId5" Type="http://schemas.openxmlformats.org/officeDocument/2006/relationships/image" Target="../media/image3.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7392</xdr:colOff>
      <xdr:row>0</xdr:row>
      <xdr:rowOff>88274</xdr:rowOff>
    </xdr:from>
    <xdr:to>
      <xdr:col>9</xdr:col>
      <xdr:colOff>3322</xdr:colOff>
      <xdr:row>1</xdr:row>
      <xdr:rowOff>220853</xdr:rowOff>
    </xdr:to>
    <xdr:pic>
      <xdr:nvPicPr>
        <xdr:cNvPr id="2" name="Picture 1" descr="C:\Users\mwyeoh\Dropbox\..VisualFrontier Projects\Images\Curtin\CurtinHeader.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2" y="88274"/>
          <a:ext cx="9145634" cy="429287"/>
        </a:xfrm>
        <a:prstGeom prst="rect">
          <a:avLst/>
        </a:prstGeom>
        <a:noFill/>
        <a:ln>
          <a:noFill/>
        </a:ln>
      </xdr:spPr>
    </xdr:pic>
    <xdr:clientData/>
  </xdr:twoCellAnchor>
  <xdr:twoCellAnchor editAs="oneCell">
    <xdr:from>
      <xdr:col>10</xdr:col>
      <xdr:colOff>190285</xdr:colOff>
      <xdr:row>8</xdr:row>
      <xdr:rowOff>1221893</xdr:rowOff>
    </xdr:from>
    <xdr:to>
      <xdr:col>13</xdr:col>
      <xdr:colOff>547072</xdr:colOff>
      <xdr:row>10</xdr:row>
      <xdr:rowOff>217146</xdr:rowOff>
    </xdr:to>
    <xdr:pic>
      <xdr:nvPicPr>
        <xdr:cNvPr id="6" name="Picture 5" descr="Side view shawarma with fried potatoes and ayran and mayonnaise in board cookware Free Phot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3948" y="3469681"/>
          <a:ext cx="2420257" cy="238761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1</xdr:row>
      <xdr:rowOff>264832</xdr:rowOff>
    </xdr:from>
    <xdr:to>
      <xdr:col>9</xdr:col>
      <xdr:colOff>1479</xdr:colOff>
      <xdr:row>2</xdr:row>
      <xdr:rowOff>152401</xdr:rowOff>
    </xdr:to>
    <xdr:pic>
      <xdr:nvPicPr>
        <xdr:cNvPr id="3" name="Picture 2" descr="C:\Users\mwyeoh\Dropbox\..VisualFrontier Projects\Images\Curtin\curtinbusiness.pn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96025" y="560107"/>
          <a:ext cx="2082987" cy="182844"/>
        </a:xfrm>
        <a:prstGeom prst="rect">
          <a:avLst/>
        </a:prstGeom>
        <a:noFill/>
        <a:ln>
          <a:noFill/>
        </a:ln>
      </xdr:spPr>
    </xdr:pic>
    <xdr:clientData/>
  </xdr:twoCellAnchor>
  <xdr:twoCellAnchor>
    <xdr:from>
      <xdr:col>8</xdr:col>
      <xdr:colOff>377740</xdr:colOff>
      <xdr:row>1</xdr:row>
      <xdr:rowOff>218523</xdr:rowOff>
    </xdr:from>
    <xdr:to>
      <xdr:col>10</xdr:col>
      <xdr:colOff>505867</xdr:colOff>
      <xdr:row>2</xdr:row>
      <xdr:rowOff>202020</xdr:rowOff>
    </xdr:to>
    <xdr:sp macro="" textlink="">
      <xdr:nvSpPr>
        <xdr:cNvPr id="4" name="TextBox 6">
          <a:extLst>
            <a:ext uri="{FF2B5EF4-FFF2-40B4-BE49-F238E27FC236}">
              <a16:creationId xmlns:a16="http://schemas.microsoft.com/office/drawing/2014/main" id="{00000000-0008-0000-0000-000004000000}"/>
            </a:ext>
          </a:extLst>
        </xdr:cNvPr>
        <xdr:cNvSpPr txBox="1"/>
      </xdr:nvSpPr>
      <xdr:spPr>
        <a:xfrm>
          <a:off x="6426115" y="513798"/>
          <a:ext cx="2318877" cy="27877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twoCellAnchor editAs="oneCell">
    <xdr:from>
      <xdr:col>12</xdr:col>
      <xdr:colOff>222658</xdr:colOff>
      <xdr:row>7</xdr:row>
      <xdr:rowOff>16919</xdr:rowOff>
    </xdr:from>
    <xdr:to>
      <xdr:col>17</xdr:col>
      <xdr:colOff>482808</xdr:colOff>
      <xdr:row>8</xdr:row>
      <xdr:rowOff>2008296</xdr:rowOff>
    </xdr:to>
    <xdr:pic>
      <xdr:nvPicPr>
        <xdr:cNvPr id="5" name="Picture 4" descr="Close-up of burger with stone background Free Phot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92046" y="1983284"/>
          <a:ext cx="3496964" cy="229887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9</xdr:col>
      <xdr:colOff>290828</xdr:colOff>
      <xdr:row>3</xdr:row>
      <xdr:rowOff>28446</xdr:rowOff>
    </xdr:from>
    <xdr:to>
      <xdr:col>13</xdr:col>
      <xdr:colOff>503281</xdr:colOff>
      <xdr:row>8</xdr:row>
      <xdr:rowOff>660850</xdr:rowOff>
    </xdr:to>
    <xdr:pic>
      <xdr:nvPicPr>
        <xdr:cNvPr id="7" name="Picture 6" descr="Pizza slices on marble over the chopping board Free Photo">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12336" y="926662"/>
          <a:ext cx="3077034" cy="1991866"/>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305698</xdr:colOff>
      <xdr:row>0</xdr:row>
      <xdr:rowOff>0</xdr:rowOff>
    </xdr:from>
    <xdr:ext cx="5337808" cy="530658"/>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305698" y="0"/>
          <a:ext cx="533780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2800" b="1"/>
            <a:t>ACCT1002: BUSINESS SIMULATION</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xdr:col>
      <xdr:colOff>119951</xdr:colOff>
      <xdr:row>27</xdr:row>
      <xdr:rowOff>29750</xdr:rowOff>
    </xdr:from>
    <xdr:to>
      <xdr:col>7</xdr:col>
      <xdr:colOff>399842</xdr:colOff>
      <xdr:row>41</xdr:row>
      <xdr:rowOff>171600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560923</xdr:colOff>
      <xdr:row>24</xdr:row>
      <xdr:rowOff>202668</xdr:rowOff>
    </xdr:from>
    <xdr:to>
      <xdr:col>17</xdr:col>
      <xdr:colOff>588509</xdr:colOff>
      <xdr:row>47</xdr:row>
      <xdr:rowOff>102992</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252876</xdr:colOff>
      <xdr:row>17</xdr:row>
      <xdr:rowOff>131496</xdr:rowOff>
    </xdr:from>
    <xdr:to>
      <xdr:col>27</xdr:col>
      <xdr:colOff>317500</xdr:colOff>
      <xdr:row>45</xdr:row>
      <xdr:rowOff>15875</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266362</xdr:colOff>
      <xdr:row>0</xdr:row>
      <xdr:rowOff>87665</xdr:rowOff>
    </xdr:from>
    <xdr:to>
      <xdr:col>27</xdr:col>
      <xdr:colOff>285750</xdr:colOff>
      <xdr:row>17</xdr:row>
      <xdr:rowOff>31750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945206</xdr:colOff>
      <xdr:row>36</xdr:row>
      <xdr:rowOff>0</xdr:rowOff>
    </xdr:from>
    <xdr:to>
      <xdr:col>11</xdr:col>
      <xdr:colOff>326146</xdr:colOff>
      <xdr:row>46</xdr:row>
      <xdr:rowOff>14637</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613648</xdr:colOff>
      <xdr:row>0</xdr:row>
      <xdr:rowOff>35966</xdr:rowOff>
    </xdr:from>
    <xdr:to>
      <xdr:col>16</xdr:col>
      <xdr:colOff>323683</xdr:colOff>
      <xdr:row>12</xdr:row>
      <xdr:rowOff>188815</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631630</xdr:colOff>
      <xdr:row>18</xdr:row>
      <xdr:rowOff>102948</xdr:rowOff>
    </xdr:from>
    <xdr:to>
      <xdr:col>16</xdr:col>
      <xdr:colOff>377629</xdr:colOff>
      <xdr:row>40</xdr:row>
      <xdr:rowOff>184768</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313565</xdr:colOff>
      <xdr:row>0</xdr:row>
      <xdr:rowOff>91035</xdr:rowOff>
    </xdr:from>
    <xdr:to>
      <xdr:col>14</xdr:col>
      <xdr:colOff>434947</xdr:colOff>
      <xdr:row>13</xdr:row>
      <xdr:rowOff>12138</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222532</xdr:colOff>
      <xdr:row>24</xdr:row>
      <xdr:rowOff>182072</xdr:rowOff>
    </xdr:from>
    <xdr:to>
      <xdr:col>14</xdr:col>
      <xdr:colOff>394486</xdr:colOff>
      <xdr:row>43</xdr:row>
      <xdr:rowOff>171955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125877</xdr:colOff>
      <xdr:row>4</xdr:row>
      <xdr:rowOff>57801</xdr:rowOff>
    </xdr:from>
    <xdr:to>
      <xdr:col>18</xdr:col>
      <xdr:colOff>13607</xdr:colOff>
      <xdr:row>4</xdr:row>
      <xdr:rowOff>611399</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0358448" y="3051372"/>
              <a:ext cx="6718516" cy="553598"/>
            </a:xfrm>
            <a:prstGeom prst="rect">
              <a:avLst/>
            </a:prstGeom>
            <a:noFill/>
            <a:ln w="28575">
              <a:solidFill>
                <a:schemeClr val="accent3">
                  <a:lumMod val="60000"/>
                  <a:lumOff val="40000"/>
                </a:schemeClr>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𝑁𝑒𝑡</m:t>
                    </m:r>
                    <m:r>
                      <a:rPr lang="en-AU" sz="1400" b="0" i="1">
                        <a:latin typeface="Cambria Math"/>
                      </a:rPr>
                      <m:t> </m:t>
                    </m:r>
                    <m:r>
                      <a:rPr lang="en-AU" sz="1400" b="0" i="1">
                        <a:latin typeface="Cambria Math"/>
                      </a:rPr>
                      <m:t>𝑃𝑟𝑜𝑓𝑖𝑡</m:t>
                    </m:r>
                    <m:r>
                      <a:rPr lang="en-AU" sz="1400" b="0" i="1">
                        <a:latin typeface="Cambria Math"/>
                      </a:rPr>
                      <m:t> </m:t>
                    </m:r>
                    <m:r>
                      <a:rPr lang="en-AU" sz="1400" b="0" i="1">
                        <a:latin typeface="Cambria Math"/>
                      </a:rPr>
                      <m:t>𝑀𝑎𝑟𝑔𝑖𝑛</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MY" sz="1400" b="0" i="1">
                            <a:latin typeface="Cambria Math" panose="02040503050406030204" pitchFamily="18" charset="0"/>
                          </a:rPr>
                          <m:t>𝑁𝑒𝑡</m:t>
                        </m:r>
                        <m:r>
                          <a:rPr lang="en-MY" sz="1400" b="0" i="1">
                            <a:latin typeface="Cambria Math" panose="02040503050406030204" pitchFamily="18" charset="0"/>
                          </a:rPr>
                          <m:t> </m:t>
                        </m:r>
                        <m:r>
                          <a:rPr lang="en-MY" sz="1400" b="0" i="1">
                            <a:latin typeface="Cambria Math" panose="02040503050406030204" pitchFamily="18" charset="0"/>
                          </a:rPr>
                          <m:t>𝑆𝑎𝑙𝑒𝑠</m:t>
                        </m:r>
                      </m:den>
                    </m:f>
                  </m:oMath>
                </m:oMathPara>
              </a14:m>
              <a:endParaRPr lang="en-AU" sz="1400"/>
            </a:p>
          </xdr:txBody>
        </xdr:sp>
      </mc:Choice>
      <mc:Fallback xmlns="">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0358448" y="3051372"/>
              <a:ext cx="6718516" cy="553598"/>
            </a:xfrm>
            <a:prstGeom prst="rect">
              <a:avLst/>
            </a:prstGeom>
            <a:noFill/>
            <a:ln w="28575">
              <a:solidFill>
                <a:schemeClr val="accent3">
                  <a:lumMod val="60000"/>
                  <a:lumOff val="40000"/>
                </a:schemeClr>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𝑁𝑒𝑡 𝑃𝑟𝑜𝑓𝑖𝑡 𝑀𝑎𝑟𝑔𝑖𝑛 𝑅𝑎𝑡𝑖𝑜=  </a:t>
              </a:r>
              <a:r>
                <a:rPr lang="en-AU" sz="1400" b="0" i="0">
                  <a:latin typeface="Cambria Math" panose="02040503050406030204" pitchFamily="18" charset="0"/>
                </a:rPr>
                <a:t>(</a:t>
              </a:r>
              <a:r>
                <a:rPr lang="en-AU" sz="1400" b="0" i="0">
                  <a:latin typeface="Cambria Math"/>
                </a:rPr>
                <a:t>𝑁𝑒𝑡 𝑃𝑟𝑜𝑓𝑖𝑡</a:t>
              </a:r>
              <a:r>
                <a:rPr lang="en-AU" sz="1400" b="0" i="0">
                  <a:latin typeface="Cambria Math" panose="02040503050406030204" pitchFamily="18" charset="0"/>
                </a:rPr>
                <a:t>)/(</a:t>
              </a:r>
              <a:r>
                <a:rPr lang="en-MY" sz="1400" b="0" i="0">
                  <a:latin typeface="Cambria Math" panose="02040503050406030204" pitchFamily="18" charset="0"/>
                </a:rPr>
                <a:t>𝑁𝑒𝑡 𝑆𝑎𝑙𝑒𝑠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121380</xdr:colOff>
      <xdr:row>8</xdr:row>
      <xdr:rowOff>48551</xdr:rowOff>
    </xdr:from>
    <xdr:to>
      <xdr:col>18</xdr:col>
      <xdr:colOff>27213</xdr:colOff>
      <xdr:row>8</xdr:row>
      <xdr:rowOff>549970</xdr:rowOff>
    </xdr:to>
    <mc:AlternateContent xmlns:mc="http://schemas.openxmlformats.org/markup-compatibility/2006" xmlns:a14="http://schemas.microsoft.com/office/drawing/2010/main">
      <mc:Choice Requires="a14">
        <xdr:sp macro="" textlink="">
          <xdr:nvSpPr>
            <xdr:cNvPr id="4" name="TextBox 2">
              <a:extLst>
                <a:ext uri="{FF2B5EF4-FFF2-40B4-BE49-F238E27FC236}">
                  <a16:creationId xmlns:a16="http://schemas.microsoft.com/office/drawing/2014/main" id="{00000000-0008-0000-0F00-000004000000}"/>
                </a:ext>
              </a:extLst>
            </xdr:cNvPr>
            <xdr:cNvSpPr txBox="1"/>
          </xdr:nvSpPr>
          <xdr:spPr>
            <a:xfrm>
              <a:off x="10353951" y="5763551"/>
              <a:ext cx="6736619"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𝑇𝑜𝑡𝑎𝑙</m:t>
                    </m:r>
                    <m:r>
                      <a:rPr lang="en-AU" sz="1400" b="0" i="1">
                        <a:latin typeface="Cambria Math"/>
                      </a:rPr>
                      <m:t> </m:t>
                    </m:r>
                    <m:r>
                      <a:rPr lang="en-AU" sz="1400" b="0" i="1">
                        <a:latin typeface="Cambria Math"/>
                      </a:rPr>
                      <m:t>𝐴𝑠𝑠𝑒𝑡</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𝑆𝑎𝑙𝑒𝑠</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4" name="TextBox 2">
              <a:extLst>
                <a:ext uri="{FF2B5EF4-FFF2-40B4-BE49-F238E27FC236}">
                  <a16:creationId xmlns:a16="http://schemas.microsoft.com/office/drawing/2014/main" id="{00000000-0008-0000-0F00-000004000000}"/>
                </a:ext>
              </a:extLst>
            </xdr:cNvPr>
            <xdr:cNvSpPr txBox="1"/>
          </xdr:nvSpPr>
          <xdr:spPr>
            <a:xfrm>
              <a:off x="10353951" y="5763551"/>
              <a:ext cx="6736619"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𝑇𝑜𝑡𝑎𝑙 𝐴𝑠𝑠𝑒𝑡 𝑇𝑢𝑟𝑛𝑜𝑣𝑒𝑟 𝑅𝑎𝑡𝑖𝑜=  </a:t>
              </a:r>
              <a:r>
                <a:rPr lang="en-AU" sz="1400" b="0" i="0">
                  <a:latin typeface="Cambria Math" panose="02040503050406030204" pitchFamily="18" charset="0"/>
                </a:rPr>
                <a:t>(</a:t>
              </a:r>
              <a:r>
                <a:rPr lang="en-AU" sz="1400" b="0" i="0">
                  <a:latin typeface="Cambria Math"/>
                </a:rPr>
                <a:t>𝑁𝑒𝑡 𝑆𝑎𝑙𝑒𝑠</a:t>
              </a:r>
              <a:r>
                <a:rPr lang="en-AU" sz="1400" b="0" i="0">
                  <a:latin typeface="Cambria Math" panose="02040503050406030204" pitchFamily="18" charset="0"/>
                </a:rPr>
                <a:t>)/(</a:t>
              </a:r>
              <a:r>
                <a:rPr lang="en-AU" sz="1400" b="0" i="0">
                  <a:latin typeface="Cambria Math"/>
                </a:rPr>
                <a:t>𝑇𝑜𝑡𝑎𝑙 𝐴𝑠𝑠𝑒𝑡𝑠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112389</xdr:colOff>
      <xdr:row>6</xdr:row>
      <xdr:rowOff>104297</xdr:rowOff>
    </xdr:from>
    <xdr:to>
      <xdr:col>18</xdr:col>
      <xdr:colOff>0</xdr:colOff>
      <xdr:row>6</xdr:row>
      <xdr:rowOff>606229</xdr:rowOff>
    </xdr:to>
    <mc:AlternateContent xmlns:mc="http://schemas.openxmlformats.org/markup-compatibility/2006" xmlns:a14="http://schemas.microsoft.com/office/drawing/2010/main">
      <mc:Choice Requires="a14">
        <xdr:sp macro="" textlink="">
          <xdr:nvSpPr>
            <xdr:cNvPr id="5" name="TextBox 2">
              <a:extLst>
                <a:ext uri="{FF2B5EF4-FFF2-40B4-BE49-F238E27FC236}">
                  <a16:creationId xmlns:a16="http://schemas.microsoft.com/office/drawing/2014/main" id="{00000000-0008-0000-0F00-000005000000}"/>
                </a:ext>
              </a:extLst>
            </xdr:cNvPr>
            <xdr:cNvSpPr txBox="1"/>
          </xdr:nvSpPr>
          <xdr:spPr>
            <a:xfrm>
              <a:off x="10344960" y="4458583"/>
              <a:ext cx="6718397"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𝑅𝑒𝑡𝑢𝑟𝑛</m:t>
                    </m:r>
                    <m:r>
                      <a:rPr lang="en-AU" sz="1400" b="0" i="1">
                        <a:latin typeface="Cambria Math"/>
                      </a:rPr>
                      <m:t> </m:t>
                    </m:r>
                    <m:r>
                      <a:rPr lang="en-AU" sz="1400" b="0" i="1">
                        <a:latin typeface="Cambria Math"/>
                      </a:rPr>
                      <m:t>𝑜𝑛</m:t>
                    </m:r>
                    <m:r>
                      <a:rPr lang="en-AU" sz="1400" b="0" i="1">
                        <a:latin typeface="Cambria Math"/>
                      </a:rPr>
                      <m:t> </m:t>
                    </m:r>
                    <m:r>
                      <a:rPr lang="en-AU" sz="1400" b="0" i="1">
                        <a:latin typeface="Cambria Math"/>
                      </a:rPr>
                      <m:t>𝐴𝑠𝑠𝑒𝑡𝑠</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5" name="TextBox 2">
              <a:extLst>
                <a:ext uri="{FF2B5EF4-FFF2-40B4-BE49-F238E27FC236}">
                  <a16:creationId xmlns:a16="http://schemas.microsoft.com/office/drawing/2014/main" id="{00000000-0008-0000-0F00-000005000000}"/>
                </a:ext>
              </a:extLst>
            </xdr:cNvPr>
            <xdr:cNvSpPr txBox="1"/>
          </xdr:nvSpPr>
          <xdr:spPr>
            <a:xfrm>
              <a:off x="10344960" y="4458583"/>
              <a:ext cx="6718397"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𝑅𝑒𝑡𝑢𝑟𝑛 𝑜𝑛 𝐴𝑠𝑠𝑒𝑡𝑠 𝑅𝑎𝑡𝑖𝑜=  </a:t>
              </a:r>
              <a:r>
                <a:rPr lang="en-AU" sz="1400" b="0" i="0">
                  <a:latin typeface="Cambria Math" panose="02040503050406030204" pitchFamily="18" charset="0"/>
                </a:rPr>
                <a:t>(</a:t>
              </a:r>
              <a:r>
                <a:rPr lang="en-AU" sz="1400" b="0" i="0">
                  <a:latin typeface="Cambria Math"/>
                </a:rPr>
                <a:t>𝑁𝑒𝑡 𝑃𝑟𝑜𝑓𝑖𝑡</a:t>
              </a:r>
              <a:r>
                <a:rPr lang="en-AU" sz="1400" b="0" i="0">
                  <a:latin typeface="Cambria Math" panose="02040503050406030204" pitchFamily="18" charset="0"/>
                </a:rPr>
                <a:t>)/(</a:t>
              </a:r>
              <a:r>
                <a:rPr lang="en-AU" sz="1400" b="0" i="0">
                  <a:latin typeface="Cambria Math"/>
                </a:rPr>
                <a:t>𝑇𝑜𝑡𝑎𝑙 𝐴𝑠𝑠𝑒𝑡𝑠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129472</xdr:colOff>
      <xdr:row>5</xdr:row>
      <xdr:rowOff>114187</xdr:rowOff>
    </xdr:from>
    <xdr:to>
      <xdr:col>18</xdr:col>
      <xdr:colOff>13607</xdr:colOff>
      <xdr:row>5</xdr:row>
      <xdr:rowOff>616119</xdr:rowOff>
    </xdr:to>
    <mc:AlternateContent xmlns:mc="http://schemas.openxmlformats.org/markup-compatibility/2006" xmlns:a14="http://schemas.microsoft.com/office/drawing/2010/main">
      <mc:Choice Requires="a14">
        <xdr:sp macro="" textlink="">
          <xdr:nvSpPr>
            <xdr:cNvPr id="6" name="TextBox 2">
              <a:extLst>
                <a:ext uri="{FF2B5EF4-FFF2-40B4-BE49-F238E27FC236}">
                  <a16:creationId xmlns:a16="http://schemas.microsoft.com/office/drawing/2014/main" id="{00000000-0008-0000-0F00-000006000000}"/>
                </a:ext>
              </a:extLst>
            </xdr:cNvPr>
            <xdr:cNvSpPr txBox="1"/>
          </xdr:nvSpPr>
          <xdr:spPr>
            <a:xfrm>
              <a:off x="10362043" y="3788116"/>
              <a:ext cx="6714921"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𝐺𝑟𝑜𝑠𝑠</m:t>
                    </m:r>
                    <m:r>
                      <a:rPr lang="en-AU" sz="1400" b="0" i="1">
                        <a:latin typeface="Cambria Math"/>
                      </a:rPr>
                      <m:t> </m:t>
                    </m:r>
                    <m:r>
                      <a:rPr lang="en-AU" sz="1400" b="0" i="1">
                        <a:latin typeface="Cambria Math"/>
                      </a:rPr>
                      <m:t>𝑃𝑟𝑜𝑓𝑖𝑡</m:t>
                    </m:r>
                    <m:r>
                      <a:rPr lang="en-AU" sz="1400" b="0" i="1">
                        <a:latin typeface="Cambria Math"/>
                      </a:rPr>
                      <m:t> </m:t>
                    </m:r>
                    <m:r>
                      <a:rPr lang="en-AU" sz="1400" b="0" i="1">
                        <a:latin typeface="Cambria Math"/>
                      </a:rPr>
                      <m:t>𝑀𝑎𝑟𝑔𝑖𝑛</m:t>
                    </m:r>
                    <m:r>
                      <a:rPr lang="en-AU" sz="1400" b="0" i="1">
                        <a:latin typeface="Cambria Math"/>
                      </a:rPr>
                      <m:t>= </m:t>
                    </m:r>
                    <m:f>
                      <m:fPr>
                        <m:ctrlPr>
                          <a:rPr lang="en-AU" sz="1400" b="0" i="1">
                            <a:latin typeface="Cambria Math" panose="02040503050406030204" pitchFamily="18" charset="0"/>
                          </a:rPr>
                        </m:ctrlPr>
                      </m:fPr>
                      <m:num>
                        <m:r>
                          <a:rPr lang="en-AU" sz="1400" i="1">
                            <a:latin typeface="Cambria Math"/>
                          </a:rPr>
                          <m:t>𝐺𝑟𝑜𝑠𝑠</m:t>
                        </m:r>
                        <m:r>
                          <a:rPr lang="en-AU" sz="1400" i="1">
                            <a:latin typeface="Cambria Math"/>
                          </a:rPr>
                          <m:t> </m:t>
                        </m:r>
                        <m:r>
                          <a:rPr lang="en-AU" sz="1400" i="1">
                            <a:latin typeface="Cambria Math"/>
                          </a:rPr>
                          <m:t>𝑃𝑟𝑜𝑓𝑖𝑡</m:t>
                        </m:r>
                      </m:num>
                      <m:den>
                        <m:r>
                          <a:rPr lang="en-AU" sz="1400" i="1">
                            <a:latin typeface="Cambria Math"/>
                          </a:rPr>
                          <m:t>𝑁𝑒𝑡</m:t>
                        </m:r>
                        <m:r>
                          <a:rPr lang="en-AU" sz="1400" i="1">
                            <a:latin typeface="Cambria Math"/>
                          </a:rPr>
                          <m:t> </m:t>
                        </m:r>
                        <m:r>
                          <a:rPr lang="en-AU" sz="1400" i="1">
                            <a:latin typeface="Cambria Math"/>
                          </a:rPr>
                          <m:t>𝑆𝑎𝑙𝑒𝑠</m:t>
                        </m:r>
                      </m:den>
                    </m:f>
                  </m:oMath>
                </m:oMathPara>
              </a14:m>
              <a:endParaRPr lang="en-AU" sz="1400"/>
            </a:p>
          </xdr:txBody>
        </xdr:sp>
      </mc:Choice>
      <mc:Fallback xmlns="">
        <xdr:sp macro="" textlink="">
          <xdr:nvSpPr>
            <xdr:cNvPr id="6" name="TextBox 2">
              <a:extLst>
                <a:ext uri="{FF2B5EF4-FFF2-40B4-BE49-F238E27FC236}">
                  <a16:creationId xmlns:a16="http://schemas.microsoft.com/office/drawing/2014/main" id="{00000000-0008-0000-0F00-000006000000}"/>
                </a:ext>
              </a:extLst>
            </xdr:cNvPr>
            <xdr:cNvSpPr txBox="1"/>
          </xdr:nvSpPr>
          <xdr:spPr>
            <a:xfrm>
              <a:off x="10362043" y="3788116"/>
              <a:ext cx="6714921"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𝐺𝑟𝑜𝑠𝑠 𝑃𝑟𝑜𝑓𝑖𝑡 𝑀𝑎𝑟𝑔𝑖𝑛= </a:t>
              </a:r>
              <a:r>
                <a:rPr lang="en-AU" sz="1400" i="0">
                  <a:latin typeface="Cambria Math"/>
                </a:rPr>
                <a:t> </a:t>
              </a:r>
              <a:r>
                <a:rPr lang="en-AU" sz="1400" b="0" i="0">
                  <a:latin typeface="Cambria Math" panose="02040503050406030204" pitchFamily="18" charset="0"/>
                </a:rPr>
                <a:t>(</a:t>
              </a:r>
              <a:r>
                <a:rPr lang="en-AU" sz="1400" i="0">
                  <a:latin typeface="Cambria Math"/>
                </a:rPr>
                <a:t>𝐺𝑟𝑜𝑠𝑠 𝑃𝑟𝑜𝑓𝑖𝑡</a:t>
              </a:r>
              <a:r>
                <a:rPr lang="en-AU" sz="1400" b="0" i="0">
                  <a:latin typeface="Cambria Math" panose="02040503050406030204" pitchFamily="18" charset="0"/>
                </a:rPr>
                <a:t>)/(</a:t>
              </a:r>
              <a:r>
                <a:rPr lang="en-AU" sz="1400" i="0">
                  <a:latin typeface="Cambria Math"/>
                </a:rPr>
                <a:t>𝑁𝑒𝑡 𝑆𝑎𝑙𝑒𝑠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137564</xdr:colOff>
      <xdr:row>7</xdr:row>
      <xdr:rowOff>32368</xdr:rowOff>
    </xdr:from>
    <xdr:to>
      <xdr:col>18</xdr:col>
      <xdr:colOff>0</xdr:colOff>
      <xdr:row>7</xdr:row>
      <xdr:rowOff>570529</xdr:rowOff>
    </xdr:to>
    <mc:AlternateContent xmlns:mc="http://schemas.openxmlformats.org/markup-compatibility/2006" xmlns:a14="http://schemas.microsoft.com/office/drawing/2010/main">
      <mc:Choice Requires="a14">
        <xdr:sp macro="" textlink="">
          <xdr:nvSpPr>
            <xdr:cNvPr id="7" name="TextBox 2">
              <a:extLst>
                <a:ext uri="{FF2B5EF4-FFF2-40B4-BE49-F238E27FC236}">
                  <a16:creationId xmlns:a16="http://schemas.microsoft.com/office/drawing/2014/main" id="{00000000-0008-0000-0F00-000007000000}"/>
                </a:ext>
              </a:extLst>
            </xdr:cNvPr>
            <xdr:cNvSpPr txBox="1"/>
          </xdr:nvSpPr>
          <xdr:spPr>
            <a:xfrm>
              <a:off x="10370135" y="5067011"/>
              <a:ext cx="6693222"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𝑅𝑒𝑡𝑢𝑟𝑛</m:t>
                    </m:r>
                    <m:r>
                      <a:rPr lang="en-AU" sz="1400" b="0" i="1">
                        <a:latin typeface="Cambria Math"/>
                      </a:rPr>
                      <m:t> </m:t>
                    </m:r>
                    <m:r>
                      <a:rPr lang="en-AU" sz="1400" b="0" i="1">
                        <a:latin typeface="Cambria Math"/>
                      </a:rPr>
                      <m:t>𝑜𝑛</m:t>
                    </m:r>
                    <m:r>
                      <a:rPr lang="en-AU" sz="1400" b="0" i="1">
                        <a:latin typeface="Cambria Math"/>
                      </a:rPr>
                      <m:t> </m:t>
                    </m:r>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AU" sz="1400" b="0" i="1">
                            <a:latin typeface="Cambria Math"/>
                          </a:rPr>
                          <m:t>𝑇𝑜𝑡𝑎𝑙</m:t>
                        </m:r>
                        <m:r>
                          <a:rPr lang="en-AU" sz="1400" b="0" i="1">
                            <a:latin typeface="Cambria Math"/>
                          </a:rPr>
                          <m:t> </m:t>
                        </m:r>
                        <m:r>
                          <a:rPr lang="en-AU" sz="1400" b="0" i="1">
                            <a:latin typeface="Cambria Math"/>
                          </a:rPr>
                          <m:t>𝐸𝑞𝑢𝑖𝑡𝑦</m:t>
                        </m:r>
                      </m:den>
                    </m:f>
                  </m:oMath>
                </m:oMathPara>
              </a14:m>
              <a:endParaRPr lang="en-AU" sz="1400"/>
            </a:p>
          </xdr:txBody>
        </xdr:sp>
      </mc:Choice>
      <mc:Fallback xmlns="">
        <xdr:sp macro="" textlink="">
          <xdr:nvSpPr>
            <xdr:cNvPr id="7" name="TextBox 2">
              <a:extLst>
                <a:ext uri="{FF2B5EF4-FFF2-40B4-BE49-F238E27FC236}">
                  <a16:creationId xmlns:a16="http://schemas.microsoft.com/office/drawing/2014/main" id="{00000000-0008-0000-0F00-000007000000}"/>
                </a:ext>
              </a:extLst>
            </xdr:cNvPr>
            <xdr:cNvSpPr txBox="1"/>
          </xdr:nvSpPr>
          <xdr:spPr>
            <a:xfrm>
              <a:off x="10370135" y="5067011"/>
              <a:ext cx="6693222"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𝑅𝑒𝑡𝑢𝑟𝑛 𝑜𝑛 𝐸𝑞𝑢𝑖𝑡𝑦 𝑅𝑎𝑡𝑖𝑜=  </a:t>
              </a:r>
              <a:r>
                <a:rPr lang="en-AU" sz="1400" b="0" i="0">
                  <a:latin typeface="Cambria Math" panose="02040503050406030204" pitchFamily="18" charset="0"/>
                </a:rPr>
                <a:t>(</a:t>
              </a:r>
              <a:r>
                <a:rPr lang="en-AU" sz="1400" b="0" i="0">
                  <a:latin typeface="Cambria Math"/>
                </a:rPr>
                <a:t>𝑁𝑒𝑡 𝑃𝑟𝑜𝑓𝑖𝑡</a:t>
              </a:r>
              <a:r>
                <a:rPr lang="en-AU" sz="1400" b="0" i="0">
                  <a:latin typeface="Cambria Math" panose="02040503050406030204" pitchFamily="18" charset="0"/>
                </a:rPr>
                <a:t>)/(</a:t>
              </a:r>
              <a:r>
                <a:rPr lang="en-AU" sz="1400" b="0" i="0">
                  <a:latin typeface="Cambria Math"/>
                </a:rPr>
                <a:t>𝑇𝑜𝑡𝑎𝑙 𝐸𝑞𝑢𝑖𝑡𝑦</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197804</xdr:colOff>
      <xdr:row>10</xdr:row>
      <xdr:rowOff>40459</xdr:rowOff>
    </xdr:from>
    <xdr:to>
      <xdr:col>18</xdr:col>
      <xdr:colOff>0</xdr:colOff>
      <xdr:row>10</xdr:row>
      <xdr:rowOff>537583</xdr:rowOff>
    </xdr:to>
    <mc:AlternateContent xmlns:mc="http://schemas.openxmlformats.org/markup-compatibility/2006" xmlns:a14="http://schemas.microsoft.com/office/drawing/2010/main">
      <mc:Choice Requires="a14">
        <xdr:sp macro="" textlink="">
          <xdr:nvSpPr>
            <xdr:cNvPr id="8" name="TextBox 5">
              <a:extLst>
                <a:ext uri="{FF2B5EF4-FFF2-40B4-BE49-F238E27FC236}">
                  <a16:creationId xmlns:a16="http://schemas.microsoft.com/office/drawing/2014/main" id="{00000000-0008-0000-0F00-000008000000}"/>
                </a:ext>
              </a:extLst>
            </xdr:cNvPr>
            <xdr:cNvSpPr txBox="1"/>
          </xdr:nvSpPr>
          <xdr:spPr>
            <a:xfrm>
              <a:off x="10430375" y="7116173"/>
              <a:ext cx="6632982" cy="49712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𝐶𝑢𝑟𝑟𝑒𝑛𝑡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𝐶𝑢𝑟𝑟𝑒𝑛𝑡</m:t>
                        </m:r>
                        <m:r>
                          <a:rPr lang="en-AU" sz="1400" b="0" i="1">
                            <a:latin typeface="Cambria Math"/>
                          </a:rPr>
                          <m:t> </m:t>
                        </m:r>
                        <m:r>
                          <a:rPr lang="en-AU" sz="1400" b="0" i="1">
                            <a:latin typeface="Cambria Math"/>
                          </a:rPr>
                          <m:t>𝐴𝑠𝑠𝑒𝑡𝑠</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8" name="TextBox 5">
              <a:extLst>
                <a:ext uri="{FF2B5EF4-FFF2-40B4-BE49-F238E27FC236}">
                  <a16:creationId xmlns:a16="http://schemas.microsoft.com/office/drawing/2014/main" id="{00000000-0008-0000-0F00-000008000000}"/>
                </a:ext>
              </a:extLst>
            </xdr:cNvPr>
            <xdr:cNvSpPr txBox="1"/>
          </xdr:nvSpPr>
          <xdr:spPr>
            <a:xfrm>
              <a:off x="10430375" y="7116173"/>
              <a:ext cx="6632982" cy="49712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𝐶𝑢𝑟𝑟𝑒𝑛𝑡 𝑅𝑎𝑡𝑖𝑜=  </a:t>
              </a:r>
              <a:r>
                <a:rPr lang="en-AU" sz="1400" b="0" i="0">
                  <a:latin typeface="Cambria Math" panose="02040503050406030204" pitchFamily="18" charset="0"/>
                </a:rPr>
                <a:t>(</a:t>
              </a:r>
              <a:r>
                <a:rPr lang="en-AU" sz="1400" b="0" i="0">
                  <a:latin typeface="Cambria Math"/>
                </a:rPr>
                <a:t>𝐶𝑢𝑟𝑟𝑒𝑛𝑡 𝐴𝑠𝑠𝑒𝑡𝑠</a:t>
              </a:r>
              <a:r>
                <a:rPr lang="en-AU" sz="1400" b="0" i="0">
                  <a:latin typeface="Cambria Math" panose="02040503050406030204" pitchFamily="18" charset="0"/>
                </a:rPr>
                <a:t>)/(</a:t>
              </a:r>
              <a:r>
                <a:rPr lang="en-AU" sz="1400" b="0" i="0">
                  <a:latin typeface="Cambria Math"/>
                </a:rPr>
                <a:t>𝐶𝑢𝑟𝑟𝑒𝑛𝑡 𝐿𝑖𝑎𝑏𝑖𝑙𝑖𝑡𝑖𝑒𝑠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129472</xdr:colOff>
      <xdr:row>14</xdr:row>
      <xdr:rowOff>16184</xdr:rowOff>
    </xdr:from>
    <xdr:to>
      <xdr:col>18</xdr:col>
      <xdr:colOff>27214</xdr:colOff>
      <xdr:row>14</xdr:row>
      <xdr:rowOff>917098</xdr:rowOff>
    </xdr:to>
    <mc:AlternateContent xmlns:mc="http://schemas.openxmlformats.org/markup-compatibility/2006" xmlns:a14="http://schemas.microsoft.com/office/drawing/2010/main">
      <mc:Choice Requires="a14">
        <xdr:sp macro="" textlink="">
          <xdr:nvSpPr>
            <xdr:cNvPr id="9" name="TextBox 2">
              <a:extLst>
                <a:ext uri="{FF2B5EF4-FFF2-40B4-BE49-F238E27FC236}">
                  <a16:creationId xmlns:a16="http://schemas.microsoft.com/office/drawing/2014/main" id="{00000000-0008-0000-0F00-000009000000}"/>
                </a:ext>
              </a:extLst>
            </xdr:cNvPr>
            <xdr:cNvSpPr txBox="1"/>
          </xdr:nvSpPr>
          <xdr:spPr>
            <a:xfrm>
              <a:off x="10362043" y="10398434"/>
              <a:ext cx="6728528" cy="900914"/>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𝐶𝑟𝑒𝑑𝑖𝑡</m:t>
                        </m:r>
                        <m:r>
                          <a:rPr lang="en-AU" sz="1400" b="0" i="1">
                            <a:latin typeface="Cambria Math"/>
                          </a:rPr>
                          <m:t> </m:t>
                        </m:r>
                        <m:r>
                          <a:rPr lang="en-AU" sz="1400" b="0" i="1">
                            <a:latin typeface="Cambria Math"/>
                          </a:rPr>
                          <m:t>𝑆𝑎𝑙𝑒𝑠</m:t>
                        </m:r>
                      </m:num>
                      <m:den>
                        <m:r>
                          <a:rPr lang="en-AU" sz="1400" b="0" i="1">
                            <a:latin typeface="Cambria Math"/>
                          </a:rPr>
                          <m:t>𝐴𝑣𝑒𝑟𝑎𝑔𝑒</m:t>
                        </m:r>
                        <m:r>
                          <a:rPr lang="en-AU" sz="1400" b="0" i="1">
                            <a:latin typeface="Cambria Math"/>
                          </a:rPr>
                          <m:t> </m:t>
                        </m:r>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den>
                    </m:f>
                  </m:oMath>
                </m:oMathPara>
              </a14:m>
              <a:endParaRPr lang="en-AU" sz="1400"/>
            </a:p>
          </xdr:txBody>
        </xdr:sp>
      </mc:Choice>
      <mc:Fallback xmlns="">
        <xdr:sp macro="" textlink="">
          <xdr:nvSpPr>
            <xdr:cNvPr id="9" name="TextBox 2">
              <a:extLst>
                <a:ext uri="{FF2B5EF4-FFF2-40B4-BE49-F238E27FC236}">
                  <a16:creationId xmlns:a16="http://schemas.microsoft.com/office/drawing/2014/main" id="{00000000-0008-0000-0F00-000009000000}"/>
                </a:ext>
              </a:extLst>
            </xdr:cNvPr>
            <xdr:cNvSpPr txBox="1"/>
          </xdr:nvSpPr>
          <xdr:spPr>
            <a:xfrm>
              <a:off x="10362043" y="10398434"/>
              <a:ext cx="6728528" cy="900914"/>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𝐴𝑐𝑐𝑜𝑢𝑛𝑡𝑠 𝑅𝑒𝑐𝑒𝑖𝑣𝑎𝑏𝑙𝑒 𝑇𝑢𝑟𝑛𝑜𝑣𝑒𝑟 𝑅𝑎𝑡𝑖𝑜=  </a:t>
              </a:r>
              <a:r>
                <a:rPr lang="en-AU" sz="1400" b="0" i="0">
                  <a:latin typeface="Cambria Math" panose="02040503050406030204" pitchFamily="18" charset="0"/>
                </a:rPr>
                <a:t>(</a:t>
              </a:r>
              <a:r>
                <a:rPr lang="en-AU" sz="1400" b="0" i="0">
                  <a:latin typeface="Cambria Math"/>
                </a:rPr>
                <a:t>𝑁𝑒𝑡 𝐶𝑟𝑒𝑑𝑖𝑡 𝑆𝑎𝑙𝑒𝑠</a:t>
              </a:r>
              <a:r>
                <a:rPr lang="en-AU" sz="1400" b="0" i="0">
                  <a:latin typeface="Cambria Math" panose="02040503050406030204" pitchFamily="18" charset="0"/>
                </a:rPr>
                <a:t>)/(</a:t>
              </a:r>
              <a:r>
                <a:rPr lang="en-AU" sz="1400" b="0" i="0">
                  <a:latin typeface="Cambria Math"/>
                </a:rPr>
                <a:t>𝐴𝑣𝑒𝑟𝑎𝑔𝑒 𝐴𝑐𝑐𝑜𝑢𝑛𝑡𝑠 𝑅𝑒𝑐𝑒𝑖𝑣𝑎𝑏𝑙𝑒</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137564</xdr:colOff>
      <xdr:row>15</xdr:row>
      <xdr:rowOff>0</xdr:rowOff>
    </xdr:from>
    <xdr:to>
      <xdr:col>18</xdr:col>
      <xdr:colOff>27213</xdr:colOff>
      <xdr:row>15</xdr:row>
      <xdr:rowOff>539635</xdr:rowOff>
    </xdr:to>
    <mc:AlternateContent xmlns:mc="http://schemas.openxmlformats.org/markup-compatibility/2006" xmlns:a14="http://schemas.microsoft.com/office/drawing/2010/main">
      <mc:Choice Requires="a14">
        <xdr:sp macro="" textlink="">
          <xdr:nvSpPr>
            <xdr:cNvPr id="10" name="TextBox 2">
              <a:extLst>
                <a:ext uri="{FF2B5EF4-FFF2-40B4-BE49-F238E27FC236}">
                  <a16:creationId xmlns:a16="http://schemas.microsoft.com/office/drawing/2014/main" id="{00000000-0008-0000-0F00-00000A000000}"/>
                </a:ext>
              </a:extLst>
            </xdr:cNvPr>
            <xdr:cNvSpPr txBox="1"/>
          </xdr:nvSpPr>
          <xdr:spPr>
            <a:xfrm>
              <a:off x="10370135" y="11430000"/>
              <a:ext cx="6720435" cy="539635"/>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𝐼𝑛𝑣𝑒𝑛𝑡𝑜𝑟𝑦</m:t>
                    </m:r>
                    <m:r>
                      <a:rPr lang="en-AU" sz="1400" b="0" i="1">
                        <a:latin typeface="Cambria Math"/>
                      </a:rPr>
                      <m:t> </m:t>
                    </m:r>
                    <m:r>
                      <a:rPr lang="en-AU" sz="1400" b="0" i="1">
                        <a:latin typeface="Cambria Math"/>
                      </a:rPr>
                      <m:t>𝑇𝑢𝑟𝑛𝑜𝑣𝑒𝑟</m:t>
                    </m:r>
                    <m:r>
                      <a:rPr lang="en-AU" sz="1400" b="0" i="1">
                        <a:latin typeface="Cambria Math"/>
                      </a:rPr>
                      <m:t> </m:t>
                    </m:r>
                    <m:d>
                      <m:dPr>
                        <m:ctrlPr>
                          <a:rPr lang="en-AU" sz="1400" b="0" i="1">
                            <a:latin typeface="Cambria Math" panose="02040503050406030204" pitchFamily="18" charset="0"/>
                          </a:rPr>
                        </m:ctrlPr>
                      </m:dPr>
                      <m:e>
                        <m:r>
                          <a:rPr lang="en-AU" sz="1400" b="0" i="1">
                            <a:latin typeface="Cambria Math" panose="02040503050406030204" pitchFamily="18" charset="0"/>
                          </a:rPr>
                          <m:t>𝐶𝑜𝑚𝑏𝑖𝑛𝑒𝑑</m:t>
                        </m:r>
                        <m:r>
                          <a:rPr lang="en-AU" sz="1400" b="0" i="1">
                            <a:latin typeface="Cambria Math" panose="02040503050406030204" pitchFamily="18" charset="0"/>
                          </a:rPr>
                          <m:t> </m:t>
                        </m:r>
                        <m:r>
                          <a:rPr lang="en-AU" sz="1400" b="0" i="1">
                            <a:latin typeface="Cambria Math" panose="02040503050406030204" pitchFamily="18" charset="0"/>
                          </a:rPr>
                          <m:t>𝑃𝑟𝑜𝑑𝑢𝑐𝑡𝑠</m:t>
                        </m:r>
                      </m:e>
                    </m:d>
                    <m:r>
                      <a:rPr lang="en-AU" sz="1400" b="0" i="1">
                        <a:latin typeface="Cambria Math" panose="02040503050406030204" pitchFamily="18" charset="0"/>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𝐶𝑜𝑠𝑡</m:t>
                        </m:r>
                        <m:r>
                          <a:rPr lang="en-AU" sz="1400" b="0" i="1">
                            <a:latin typeface="Cambria Math"/>
                          </a:rPr>
                          <m:t> </m:t>
                        </m:r>
                        <m:r>
                          <a:rPr lang="en-AU" sz="1400" b="0" i="1">
                            <a:latin typeface="Cambria Math"/>
                          </a:rPr>
                          <m:t>𝑜𝑓</m:t>
                        </m:r>
                        <m:r>
                          <a:rPr lang="en-AU" sz="1400" b="0" i="1">
                            <a:latin typeface="Cambria Math"/>
                          </a:rPr>
                          <m:t> </m:t>
                        </m:r>
                        <m:r>
                          <a:rPr lang="en-AU" sz="1400" b="0" i="1">
                            <a:latin typeface="Cambria Math"/>
                          </a:rPr>
                          <m:t>𝑆𝑎𝑙𝑒𝑠</m:t>
                        </m:r>
                      </m:num>
                      <m:den>
                        <m:r>
                          <a:rPr lang="en-AU" sz="1400" b="0" i="1">
                            <a:latin typeface="Cambria Math"/>
                          </a:rPr>
                          <m:t>𝐴𝑣𝑒𝑟𝑎𝑔𝑒</m:t>
                        </m:r>
                        <m:r>
                          <a:rPr lang="en-AU" sz="1400" b="0" i="1">
                            <a:latin typeface="Cambria Math"/>
                          </a:rPr>
                          <m:t> </m:t>
                        </m:r>
                        <m:r>
                          <a:rPr lang="en-AU" sz="1400" b="0" i="1">
                            <a:latin typeface="Cambria Math"/>
                          </a:rPr>
                          <m:t>𝐼𝑛𝑣𝑒𝑛𝑡𝑜𝑟𝑦</m:t>
                        </m:r>
                        <m:r>
                          <a:rPr lang="en-AU" sz="1400" b="0" i="1">
                            <a:latin typeface="Cambria Math"/>
                          </a:rPr>
                          <m:t> </m:t>
                        </m:r>
                        <m:r>
                          <a:rPr lang="en-AU" sz="1400" b="0" i="1">
                            <a:latin typeface="Cambria Math"/>
                          </a:rPr>
                          <m:t>𝐵𝑎𝑙𝑎𝑛𝑐𝑒</m:t>
                        </m:r>
                      </m:den>
                    </m:f>
                  </m:oMath>
                </m:oMathPara>
              </a14:m>
              <a:endParaRPr lang="en-AU" sz="1400"/>
            </a:p>
          </xdr:txBody>
        </xdr:sp>
      </mc:Choice>
      <mc:Fallback xmlns="">
        <xdr:sp macro="" textlink="">
          <xdr:nvSpPr>
            <xdr:cNvPr id="10" name="TextBox 2">
              <a:extLst>
                <a:ext uri="{FF2B5EF4-FFF2-40B4-BE49-F238E27FC236}">
                  <a16:creationId xmlns:a16="http://schemas.microsoft.com/office/drawing/2014/main" id="{00000000-0008-0000-0F00-00000A000000}"/>
                </a:ext>
              </a:extLst>
            </xdr:cNvPr>
            <xdr:cNvSpPr txBox="1"/>
          </xdr:nvSpPr>
          <xdr:spPr>
            <a:xfrm>
              <a:off x="10370135" y="11430000"/>
              <a:ext cx="6720435" cy="539635"/>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𝐼𝑛𝑣𝑒𝑛𝑡𝑜𝑟𝑦 𝑇𝑢𝑟𝑛𝑜𝑣𝑒𝑟 </a:t>
              </a:r>
              <a:r>
                <a:rPr lang="en-AU" sz="1400" b="0" i="0">
                  <a:latin typeface="Cambria Math" panose="02040503050406030204" pitchFamily="18" charset="0"/>
                </a:rPr>
                <a:t>(𝐶𝑜𝑚𝑏𝑖𝑛𝑒𝑑 𝑃𝑟𝑜𝑑𝑢𝑐𝑡𝑠)  </a:t>
              </a:r>
              <a:r>
                <a:rPr lang="en-AU" sz="1400" b="0" i="0">
                  <a:latin typeface="Cambria Math"/>
                </a:rPr>
                <a:t>𝑅𝑎𝑡𝑖𝑜=  </a:t>
              </a:r>
              <a:r>
                <a:rPr lang="en-AU" sz="1400" b="0" i="0">
                  <a:latin typeface="Cambria Math" panose="02040503050406030204" pitchFamily="18" charset="0"/>
                </a:rPr>
                <a:t>(</a:t>
              </a:r>
              <a:r>
                <a:rPr lang="en-AU" sz="1400" b="0" i="0">
                  <a:latin typeface="Cambria Math"/>
                </a:rPr>
                <a:t>𝐶𝑜𝑠𝑡 𝑜𝑓 𝑆𝑎𝑙𝑒𝑠</a:t>
              </a:r>
              <a:r>
                <a:rPr lang="en-AU" sz="1400" b="0" i="0">
                  <a:latin typeface="Cambria Math" panose="02040503050406030204" pitchFamily="18" charset="0"/>
                </a:rPr>
                <a:t>)/(</a:t>
              </a:r>
              <a:r>
                <a:rPr lang="en-AU" sz="1400" b="0" i="0">
                  <a:latin typeface="Cambria Math"/>
                </a:rPr>
                <a:t>𝐴𝑣𝑒𝑟𝑎𝑔𝑒 𝐼𝑛𝑣𝑒𝑛𝑡𝑜𝑟𝑦 𝐵𝑎𝑙𝑎𝑛𝑐𝑒</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153749</xdr:colOff>
      <xdr:row>13</xdr:row>
      <xdr:rowOff>24276</xdr:rowOff>
    </xdr:from>
    <xdr:to>
      <xdr:col>18</xdr:col>
      <xdr:colOff>27214</xdr:colOff>
      <xdr:row>13</xdr:row>
      <xdr:rowOff>797644</xdr:rowOff>
    </xdr:to>
    <mc:AlternateContent xmlns:mc="http://schemas.openxmlformats.org/markup-compatibility/2006" xmlns:a14="http://schemas.microsoft.com/office/drawing/2010/main">
      <mc:Choice Requires="a14">
        <xdr:sp macro="" textlink="">
          <xdr:nvSpPr>
            <xdr:cNvPr id="11" name="TextBox 2">
              <a:extLst>
                <a:ext uri="{FF2B5EF4-FFF2-40B4-BE49-F238E27FC236}">
                  <a16:creationId xmlns:a16="http://schemas.microsoft.com/office/drawing/2014/main" id="{00000000-0008-0000-0F00-00000B000000}"/>
                </a:ext>
              </a:extLst>
            </xdr:cNvPr>
            <xdr:cNvSpPr txBox="1"/>
          </xdr:nvSpPr>
          <xdr:spPr>
            <a:xfrm>
              <a:off x="10386320" y="9440419"/>
              <a:ext cx="6704251" cy="773368"/>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𝑄𝑢𝑖𝑐𝑘</m:t>
                    </m:r>
                    <m:r>
                      <a:rPr lang="en-AU" sz="1400" b="0" i="1">
                        <a:latin typeface="Cambria Math"/>
                      </a:rPr>
                      <m:t> </m:t>
                    </m:r>
                    <m:r>
                      <a:rPr lang="en-AU" sz="1400" b="0" i="1">
                        <a:latin typeface="Cambria Math"/>
                      </a:rPr>
                      <m:t>𝑅𝑎𝑡𝑖𝑜</m:t>
                    </m:r>
                    <m:r>
                      <a:rPr lang="en-AU" sz="1400" b="0" i="1">
                        <a:latin typeface="Cambria Math"/>
                      </a:rPr>
                      <m:t> </m:t>
                    </m:r>
                    <m:r>
                      <a:rPr lang="en-AU" sz="1400" b="0" i="1">
                        <a:latin typeface="Cambria Math"/>
                      </a:rPr>
                      <m:t>𝑂𝑅</m:t>
                    </m:r>
                    <m:r>
                      <a:rPr lang="en-AU" sz="1400" b="0" i="1">
                        <a:latin typeface="Cambria Math"/>
                      </a:rPr>
                      <m:t> </m:t>
                    </m:r>
                    <m:r>
                      <a:rPr lang="en-AU" sz="1400" b="0" i="1">
                        <a:latin typeface="Cambria Math"/>
                      </a:rPr>
                      <m:t>𝐴𝑐𝑖𝑑</m:t>
                    </m:r>
                    <m:r>
                      <a:rPr lang="en-AU" sz="1400" b="0" i="1">
                        <a:latin typeface="Cambria Math"/>
                      </a:rPr>
                      <m:t> </m:t>
                    </m:r>
                    <m:r>
                      <a:rPr lang="en-AU" sz="1400" b="0" i="1">
                        <a:latin typeface="Cambria Math"/>
                      </a:rPr>
                      <m:t>𝑇𝑒𝑠𝑡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𝐶𝑎𝑠h</m:t>
                        </m:r>
                        <m:r>
                          <a:rPr lang="en-AU" sz="1400" b="0" i="1">
                            <a:latin typeface="Cambria Math"/>
                          </a:rPr>
                          <m:t>+</m:t>
                        </m:r>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11" name="TextBox 2">
              <a:extLst>
                <a:ext uri="{FF2B5EF4-FFF2-40B4-BE49-F238E27FC236}">
                  <a16:creationId xmlns:a16="http://schemas.microsoft.com/office/drawing/2014/main" id="{00000000-0008-0000-0F00-00000B000000}"/>
                </a:ext>
              </a:extLst>
            </xdr:cNvPr>
            <xdr:cNvSpPr txBox="1"/>
          </xdr:nvSpPr>
          <xdr:spPr>
            <a:xfrm>
              <a:off x="10386320" y="9440419"/>
              <a:ext cx="6704251" cy="773368"/>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𝑄𝑢𝑖𝑐𝑘 𝑅𝑎𝑡𝑖𝑜 𝑂𝑅 𝐴𝑐𝑖𝑑 𝑇𝑒𝑠𝑡 𝑅𝑎𝑡𝑖𝑜=  </a:t>
              </a:r>
              <a:r>
                <a:rPr lang="en-AU" sz="1400" b="0" i="0">
                  <a:latin typeface="Cambria Math" panose="02040503050406030204" pitchFamily="18" charset="0"/>
                </a:rPr>
                <a:t>(</a:t>
              </a:r>
              <a:r>
                <a:rPr lang="en-AU" sz="1400" b="0" i="0">
                  <a:latin typeface="Cambria Math"/>
                </a:rPr>
                <a:t>𝐶𝑎𝑠ℎ+𝐴𝑐𝑐𝑜𝑢𝑛𝑡𝑠 𝑅𝑒𝑐𝑒𝑖𝑣𝑎𝑏𝑙𝑒</a:t>
              </a:r>
              <a:r>
                <a:rPr lang="en-AU" sz="1400" b="0" i="0">
                  <a:latin typeface="Cambria Math" panose="02040503050406030204" pitchFamily="18" charset="0"/>
                </a:rPr>
                <a:t>)/(</a:t>
              </a:r>
              <a:r>
                <a:rPr lang="en-AU" sz="1400" b="0" i="0">
                  <a:latin typeface="Cambria Math"/>
                </a:rPr>
                <a:t>𝐶𝑢𝑟𝑟𝑒𝑛𝑡 𝐿𝑖𝑎𝑏𝑖𝑙𝑖𝑡𝑖𝑒𝑠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169933</xdr:colOff>
      <xdr:row>12</xdr:row>
      <xdr:rowOff>16184</xdr:rowOff>
    </xdr:from>
    <xdr:to>
      <xdr:col>18</xdr:col>
      <xdr:colOff>0</xdr:colOff>
      <xdr:row>12</xdr:row>
      <xdr:rowOff>786084</xdr:rowOff>
    </xdr:to>
    <mc:AlternateContent xmlns:mc="http://schemas.openxmlformats.org/markup-compatibility/2006" xmlns:a14="http://schemas.microsoft.com/office/drawing/2010/main">
      <mc:Choice Requires="a14">
        <xdr:sp macro="" textlink="">
          <xdr:nvSpPr>
            <xdr:cNvPr id="12" name="TextBox 2">
              <a:extLst>
                <a:ext uri="{FF2B5EF4-FFF2-40B4-BE49-F238E27FC236}">
                  <a16:creationId xmlns:a16="http://schemas.microsoft.com/office/drawing/2014/main" id="{00000000-0008-0000-0F00-00000C000000}"/>
                </a:ext>
              </a:extLst>
            </xdr:cNvPr>
            <xdr:cNvSpPr txBox="1"/>
          </xdr:nvSpPr>
          <xdr:spPr>
            <a:xfrm>
              <a:off x="10402504" y="8452613"/>
              <a:ext cx="6660853" cy="769900"/>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𝐶𝑎𝑠h</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𝐶𝑎𝑠h</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12" name="TextBox 2">
              <a:extLst>
                <a:ext uri="{FF2B5EF4-FFF2-40B4-BE49-F238E27FC236}">
                  <a16:creationId xmlns:a16="http://schemas.microsoft.com/office/drawing/2014/main" id="{00000000-0008-0000-0F00-00000C000000}"/>
                </a:ext>
              </a:extLst>
            </xdr:cNvPr>
            <xdr:cNvSpPr txBox="1"/>
          </xdr:nvSpPr>
          <xdr:spPr>
            <a:xfrm>
              <a:off x="10402504" y="8452613"/>
              <a:ext cx="6660853" cy="769900"/>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𝐶𝑎𝑠ℎ 𝑅𝑎𝑡𝑖𝑜=  𝐶𝑎𝑠ℎ</a:t>
              </a:r>
              <a:r>
                <a:rPr lang="en-AU" sz="1400" b="0" i="0">
                  <a:latin typeface="Cambria Math" panose="02040503050406030204" pitchFamily="18" charset="0"/>
                </a:rPr>
                <a:t>/(</a:t>
              </a:r>
              <a:r>
                <a:rPr lang="en-AU" sz="1400" b="0" i="0">
                  <a:latin typeface="Cambria Math"/>
                </a:rPr>
                <a:t>𝐶𝑢𝑟𝑟𝑒𝑛𝑡 𝐿𝑖𝑎𝑏𝑖𝑙𝑖𝑡𝑖𝑒𝑠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178025</xdr:colOff>
      <xdr:row>17</xdr:row>
      <xdr:rowOff>24276</xdr:rowOff>
    </xdr:from>
    <xdr:to>
      <xdr:col>18</xdr:col>
      <xdr:colOff>0</xdr:colOff>
      <xdr:row>17</xdr:row>
      <xdr:rowOff>525695</xdr:rowOff>
    </xdr:to>
    <mc:AlternateContent xmlns:mc="http://schemas.openxmlformats.org/markup-compatibility/2006" xmlns:a14="http://schemas.microsoft.com/office/drawing/2010/main">
      <mc:Choice Requires="a14">
        <xdr:sp macro="" textlink="">
          <xdr:nvSpPr>
            <xdr:cNvPr id="13" name="TextBox 5">
              <a:extLst>
                <a:ext uri="{FF2B5EF4-FFF2-40B4-BE49-F238E27FC236}">
                  <a16:creationId xmlns:a16="http://schemas.microsoft.com/office/drawing/2014/main" id="{00000000-0008-0000-0F00-00000D000000}"/>
                </a:ext>
              </a:extLst>
            </xdr:cNvPr>
            <xdr:cNvSpPr txBox="1"/>
          </xdr:nvSpPr>
          <xdr:spPr>
            <a:xfrm>
              <a:off x="10410596" y="12814990"/>
              <a:ext cx="6652761"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𝐷𝑒𝑏𝑡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𝐿𝑖𝑎𝑏𝑖𝑙𝑖𝑡𝑖𝑒𝑠</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13" name="TextBox 5">
              <a:extLst>
                <a:ext uri="{FF2B5EF4-FFF2-40B4-BE49-F238E27FC236}">
                  <a16:creationId xmlns:a16="http://schemas.microsoft.com/office/drawing/2014/main" id="{00000000-0008-0000-0F00-00000D000000}"/>
                </a:ext>
              </a:extLst>
            </xdr:cNvPr>
            <xdr:cNvSpPr txBox="1"/>
          </xdr:nvSpPr>
          <xdr:spPr>
            <a:xfrm>
              <a:off x="10410596" y="12814990"/>
              <a:ext cx="6652761"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𝐷𝑒𝑏𝑡 𝑅𝑎𝑡𝑖𝑜=  </a:t>
              </a:r>
              <a:r>
                <a:rPr lang="en-AU" sz="1400" b="0" i="0">
                  <a:latin typeface="Cambria Math" panose="02040503050406030204" pitchFamily="18" charset="0"/>
                </a:rPr>
                <a:t>(</a:t>
              </a:r>
              <a:r>
                <a:rPr lang="en-AU" sz="1400" b="0" i="0">
                  <a:latin typeface="Cambria Math"/>
                </a:rPr>
                <a:t>𝑇𝑜𝑡𝑎𝑙 𝐿𝑖𝑎𝑏𝑖𝑙𝑖𝑡𝑖𝑒𝑠</a:t>
              </a:r>
              <a:r>
                <a:rPr lang="en-AU" sz="1400" b="0" i="0">
                  <a:latin typeface="Cambria Math" panose="02040503050406030204" pitchFamily="18" charset="0"/>
                </a:rPr>
                <a:t>)/(</a:t>
              </a:r>
              <a:r>
                <a:rPr lang="en-AU" sz="1400" b="0" i="0">
                  <a:latin typeface="Cambria Math"/>
                </a:rPr>
                <a:t>𝑇𝑜𝑡𝑎𝑙 𝐴𝑠𝑠𝑒𝑡𝑠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178025</xdr:colOff>
      <xdr:row>18</xdr:row>
      <xdr:rowOff>8092</xdr:rowOff>
    </xdr:from>
    <xdr:to>
      <xdr:col>18</xdr:col>
      <xdr:colOff>13607</xdr:colOff>
      <xdr:row>18</xdr:row>
      <xdr:rowOff>546253</xdr:rowOff>
    </xdr:to>
    <mc:AlternateContent xmlns:mc="http://schemas.openxmlformats.org/markup-compatibility/2006" xmlns:a14="http://schemas.microsoft.com/office/drawing/2010/main">
      <mc:Choice Requires="a14">
        <xdr:sp macro="" textlink="">
          <xdr:nvSpPr>
            <xdr:cNvPr id="14" name="TextBox 6">
              <a:extLst>
                <a:ext uri="{FF2B5EF4-FFF2-40B4-BE49-F238E27FC236}">
                  <a16:creationId xmlns:a16="http://schemas.microsoft.com/office/drawing/2014/main" id="{00000000-0008-0000-0F00-00000E000000}"/>
                </a:ext>
              </a:extLst>
            </xdr:cNvPr>
            <xdr:cNvSpPr txBox="1"/>
          </xdr:nvSpPr>
          <xdr:spPr>
            <a:xfrm>
              <a:off x="10410596" y="13479163"/>
              <a:ext cx="6666368"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𝐷𝑒𝑏𝑡</m:t>
                    </m:r>
                    <m:r>
                      <a:rPr lang="en-AU" sz="1400" b="0" i="1">
                        <a:latin typeface="Cambria Math"/>
                      </a:rPr>
                      <m:t> </m:t>
                    </m:r>
                    <m:r>
                      <a:rPr lang="en-AU" sz="1400" b="0" i="1">
                        <a:latin typeface="Cambria Math"/>
                      </a:rPr>
                      <m:t>𝑡𝑜</m:t>
                    </m:r>
                    <m:r>
                      <a:rPr lang="en-AU" sz="1400" b="0" i="1">
                        <a:latin typeface="Cambria Math"/>
                      </a:rPr>
                      <m:t> </m:t>
                    </m:r>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𝐿𝑖𝑎𝑏𝑖𝑙𝑖𝑡𝑖𝑒𝑠</m:t>
                        </m:r>
                      </m:num>
                      <m:den>
                        <m:r>
                          <a:rPr lang="en-AU" sz="1400" b="0" i="1">
                            <a:latin typeface="Cambria Math"/>
                          </a:rPr>
                          <m:t>𝑇𝑜𝑡𝑎𝑙</m:t>
                        </m:r>
                        <m:r>
                          <a:rPr lang="en-AU" sz="1400" b="0" i="1">
                            <a:latin typeface="Cambria Math"/>
                          </a:rPr>
                          <m:t> </m:t>
                        </m:r>
                        <m:r>
                          <a:rPr lang="en-AU" sz="1400" b="0" i="1">
                            <a:latin typeface="Cambria Math"/>
                          </a:rPr>
                          <m:t>𝐸𝑞𝑢𝑖𝑡𝑦</m:t>
                        </m:r>
                      </m:den>
                    </m:f>
                  </m:oMath>
                </m:oMathPara>
              </a14:m>
              <a:endParaRPr lang="en-AU" sz="1400"/>
            </a:p>
          </xdr:txBody>
        </xdr:sp>
      </mc:Choice>
      <mc:Fallback xmlns="">
        <xdr:sp macro="" textlink="">
          <xdr:nvSpPr>
            <xdr:cNvPr id="14" name="TextBox 6">
              <a:extLst>
                <a:ext uri="{FF2B5EF4-FFF2-40B4-BE49-F238E27FC236}">
                  <a16:creationId xmlns:a16="http://schemas.microsoft.com/office/drawing/2014/main" id="{00000000-0008-0000-0F00-00000E000000}"/>
                </a:ext>
              </a:extLst>
            </xdr:cNvPr>
            <xdr:cNvSpPr txBox="1"/>
          </xdr:nvSpPr>
          <xdr:spPr>
            <a:xfrm>
              <a:off x="10410596" y="13479163"/>
              <a:ext cx="6666368"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𝐷𝑒𝑏𝑡 𝑡𝑜 𝐸𝑞𝑢𝑖𝑡𝑦 𝑅𝑎𝑡𝑖𝑜=  </a:t>
              </a:r>
              <a:r>
                <a:rPr lang="en-AU" sz="1400" b="0" i="0">
                  <a:latin typeface="Cambria Math" panose="02040503050406030204" pitchFamily="18" charset="0"/>
                </a:rPr>
                <a:t>(</a:t>
              </a:r>
              <a:r>
                <a:rPr lang="en-AU" sz="1400" b="0" i="0">
                  <a:latin typeface="Cambria Math"/>
                </a:rPr>
                <a:t>𝑇𝑜𝑡𝑎𝑙 𝐿𝑖𝑎𝑏𝑖𝑙𝑖𝑡𝑖𝑒𝑠</a:t>
              </a:r>
              <a:r>
                <a:rPr lang="en-AU" sz="1400" b="0" i="0">
                  <a:latin typeface="Cambria Math" panose="02040503050406030204" pitchFamily="18" charset="0"/>
                </a:rPr>
                <a:t>)/(</a:t>
              </a:r>
              <a:r>
                <a:rPr lang="en-AU" sz="1400" b="0" i="0">
                  <a:latin typeface="Cambria Math"/>
                </a:rPr>
                <a:t>𝑇𝑜𝑡𝑎𝑙 𝐸𝑞𝑢𝑖𝑡𝑦</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178025</xdr:colOff>
      <xdr:row>19</xdr:row>
      <xdr:rowOff>32368</xdr:rowOff>
    </xdr:from>
    <xdr:to>
      <xdr:col>18</xdr:col>
      <xdr:colOff>27214</xdr:colOff>
      <xdr:row>19</xdr:row>
      <xdr:rowOff>533787</xdr:rowOff>
    </xdr:to>
    <mc:AlternateContent xmlns:mc="http://schemas.openxmlformats.org/markup-compatibility/2006" xmlns:a14="http://schemas.microsoft.com/office/drawing/2010/main">
      <mc:Choice Requires="a14">
        <xdr:sp macro="" textlink="">
          <xdr:nvSpPr>
            <xdr:cNvPr id="15" name="TextBox 6">
              <a:extLst>
                <a:ext uri="{FF2B5EF4-FFF2-40B4-BE49-F238E27FC236}">
                  <a16:creationId xmlns:a16="http://schemas.microsoft.com/office/drawing/2014/main" id="{00000000-0008-0000-0F00-00000F000000}"/>
                </a:ext>
              </a:extLst>
            </xdr:cNvPr>
            <xdr:cNvSpPr txBox="1"/>
          </xdr:nvSpPr>
          <xdr:spPr>
            <a:xfrm>
              <a:off x="10410596" y="14183797"/>
              <a:ext cx="6679975"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𝐸𝑞𝑢𝑖𝑡𝑦</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15" name="TextBox 6">
              <a:extLst>
                <a:ext uri="{FF2B5EF4-FFF2-40B4-BE49-F238E27FC236}">
                  <a16:creationId xmlns:a16="http://schemas.microsoft.com/office/drawing/2014/main" id="{00000000-0008-0000-0F00-00000F000000}"/>
                </a:ext>
              </a:extLst>
            </xdr:cNvPr>
            <xdr:cNvSpPr txBox="1"/>
          </xdr:nvSpPr>
          <xdr:spPr>
            <a:xfrm>
              <a:off x="10410596" y="14183797"/>
              <a:ext cx="6679975"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𝐸𝑞𝑢𝑖𝑡𝑦 𝑅𝑎𝑡𝑖𝑜=  </a:t>
              </a:r>
              <a:r>
                <a:rPr lang="en-AU" sz="1400" b="0" i="0">
                  <a:latin typeface="Cambria Math" panose="02040503050406030204" pitchFamily="18" charset="0"/>
                </a:rPr>
                <a:t>(</a:t>
              </a:r>
              <a:r>
                <a:rPr lang="en-AU" sz="1400" b="0" i="0">
                  <a:latin typeface="Cambria Math"/>
                </a:rPr>
                <a:t>𝑇𝑜𝑡𝑎𝑙 𝐸𝑞𝑢𝑖𝑡𝑦</a:t>
              </a:r>
              <a:r>
                <a:rPr lang="en-AU" sz="1400" b="0" i="0">
                  <a:latin typeface="Cambria Math" panose="02040503050406030204" pitchFamily="18" charset="0"/>
                </a:rPr>
                <a:t>)/(</a:t>
              </a:r>
              <a:r>
                <a:rPr lang="en-AU" sz="1400" b="0" i="0">
                  <a:latin typeface="Cambria Math"/>
                </a:rPr>
                <a:t>𝑇𝑜𝑡𝑎𝑙 𝐴𝑠𝑠𝑒𝑡𝑠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186115</xdr:colOff>
      <xdr:row>10</xdr:row>
      <xdr:rowOff>680356</xdr:rowOff>
    </xdr:from>
    <xdr:to>
      <xdr:col>18</xdr:col>
      <xdr:colOff>13606</xdr:colOff>
      <xdr:row>11</xdr:row>
      <xdr:rowOff>557450</xdr:rowOff>
    </xdr:to>
    <mc:AlternateContent xmlns:mc="http://schemas.openxmlformats.org/markup-compatibility/2006" xmlns:a14="http://schemas.microsoft.com/office/drawing/2010/main">
      <mc:Choice Requires="a14">
        <xdr:sp macro="" textlink="">
          <xdr:nvSpPr>
            <xdr:cNvPr id="17" name="TextBox 2">
              <a:extLst>
                <a:ext uri="{FF2B5EF4-FFF2-40B4-BE49-F238E27FC236}">
                  <a16:creationId xmlns:a16="http://schemas.microsoft.com/office/drawing/2014/main" id="{00000000-0008-0000-0F00-000011000000}"/>
                </a:ext>
              </a:extLst>
            </xdr:cNvPr>
            <xdr:cNvSpPr txBox="1"/>
          </xdr:nvSpPr>
          <xdr:spPr>
            <a:xfrm>
              <a:off x="10418686" y="7756070"/>
              <a:ext cx="6658277" cy="557451"/>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𝑊𝑜𝑟𝑘𝑖𝑛𝑔</m:t>
                    </m:r>
                    <m:r>
                      <a:rPr lang="en-AU" sz="1400" b="0" i="1">
                        <a:latin typeface="Cambria Math"/>
                      </a:rPr>
                      <m:t> </m:t>
                    </m:r>
                    <m:r>
                      <a:rPr lang="en-AU" sz="1400" b="0" i="1">
                        <a:latin typeface="Cambria Math"/>
                      </a:rPr>
                      <m:t>𝐶𝑎𝑝𝑖𝑡𝑎𝑙</m:t>
                    </m:r>
                    <m:r>
                      <a:rPr lang="en-AU" sz="1400" b="0" i="1">
                        <a:latin typeface="Cambria Math"/>
                      </a:rPr>
                      <m:t>=  </m:t>
                    </m:r>
                    <m:r>
                      <a:rPr lang="en-AU" sz="1400" b="0" i="1">
                        <a:latin typeface="Cambria Math"/>
                      </a:rPr>
                      <m:t>𝐶𝑢𝑟𝑟𝑒𝑛𝑡</m:t>
                    </m:r>
                    <m:r>
                      <a:rPr lang="en-AU" sz="1400" b="0" i="1">
                        <a:latin typeface="Cambria Math"/>
                      </a:rPr>
                      <m:t> </m:t>
                    </m:r>
                    <m:r>
                      <a:rPr lang="en-AU" sz="1400" b="0" i="1">
                        <a:latin typeface="Cambria Math"/>
                      </a:rPr>
                      <m:t>𝐴𝑠𝑠𝑒𝑡𝑠</m:t>
                    </m:r>
                    <m:r>
                      <a:rPr lang="en-AU" sz="1400" b="0" i="1">
                        <a:latin typeface="Cambria Math"/>
                      </a:rPr>
                      <m:t> −</m:t>
                    </m:r>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oMath>
                </m:oMathPara>
              </a14:m>
              <a:endParaRPr lang="en-AU" sz="1400"/>
            </a:p>
          </xdr:txBody>
        </xdr:sp>
      </mc:Choice>
      <mc:Fallback xmlns="">
        <xdr:sp macro="" textlink="">
          <xdr:nvSpPr>
            <xdr:cNvPr id="17" name="TextBox 2">
              <a:extLst>
                <a:ext uri="{FF2B5EF4-FFF2-40B4-BE49-F238E27FC236}">
                  <a16:creationId xmlns:a16="http://schemas.microsoft.com/office/drawing/2014/main" id="{00000000-0008-0000-0F00-000011000000}"/>
                </a:ext>
              </a:extLst>
            </xdr:cNvPr>
            <xdr:cNvSpPr txBox="1"/>
          </xdr:nvSpPr>
          <xdr:spPr>
            <a:xfrm>
              <a:off x="10418686" y="7756070"/>
              <a:ext cx="6658277" cy="557451"/>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𝑊𝑜𝑟𝑘𝑖𝑛𝑔 𝐶𝑎𝑝𝑖𝑡𝑎𝑙=  𝐶𝑢𝑟𝑟𝑒𝑛𝑡 𝐴𝑠𝑠𝑒𝑡𝑠 −𝐶𝑢𝑟𝑟𝑒𝑛𝑡 𝐿𝑖𝑎𝑏𝑖𝑙𝑖𝑡𝑖𝑒𝑠</a:t>
              </a:r>
              <a:endParaRPr lang="en-AU" sz="1400"/>
            </a:p>
          </xdr:txBody>
        </xdr:sp>
      </mc:Fallback>
    </mc:AlternateContent>
    <xdr:clientData/>
  </xdr:twoCellAnchor>
  <xdr:twoCellAnchor>
    <xdr:from>
      <xdr:col>8</xdr:col>
      <xdr:colOff>168132</xdr:colOff>
      <xdr:row>20</xdr:row>
      <xdr:rowOff>25175</xdr:rowOff>
    </xdr:from>
    <xdr:to>
      <xdr:col>18</xdr:col>
      <xdr:colOff>27214</xdr:colOff>
      <xdr:row>20</xdr:row>
      <xdr:rowOff>565259</xdr:rowOff>
    </xdr:to>
    <mc:AlternateContent xmlns:mc="http://schemas.openxmlformats.org/markup-compatibility/2006" xmlns:a14="http://schemas.microsoft.com/office/drawing/2010/main">
      <mc:Choice Requires="a14">
        <xdr:sp macro="" textlink="">
          <xdr:nvSpPr>
            <xdr:cNvPr id="18" name="TextBox 2">
              <a:extLst>
                <a:ext uri="{FF2B5EF4-FFF2-40B4-BE49-F238E27FC236}">
                  <a16:creationId xmlns:a16="http://schemas.microsoft.com/office/drawing/2014/main" id="{00000000-0008-0000-0F00-000012000000}"/>
                </a:ext>
              </a:extLst>
            </xdr:cNvPr>
            <xdr:cNvSpPr txBox="1"/>
          </xdr:nvSpPr>
          <xdr:spPr>
            <a:xfrm>
              <a:off x="10400703" y="14856961"/>
              <a:ext cx="6689868" cy="54008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panose="02040503050406030204" pitchFamily="18" charset="0"/>
                      </a:rPr>
                      <m:t>𝑇𝑖𝑚𝑒𝑠</m:t>
                    </m:r>
                    <m:r>
                      <a:rPr lang="en-AU" sz="1400" b="0" i="1">
                        <a:latin typeface="Cambria Math" panose="02040503050406030204" pitchFamily="18" charset="0"/>
                      </a:rPr>
                      <m:t> </m:t>
                    </m:r>
                    <m:r>
                      <a:rPr lang="en-AU" sz="1400" b="0" i="1">
                        <a:latin typeface="Cambria Math" panose="02040503050406030204" pitchFamily="18" charset="0"/>
                      </a:rPr>
                      <m:t>𝐼𝑛𝑡𝑒𝑟𝑒𝑠𝑡</m:t>
                    </m:r>
                    <m:r>
                      <a:rPr lang="en-AU" sz="1400" b="0" i="1">
                        <a:latin typeface="Cambria Math" panose="02040503050406030204" pitchFamily="18" charset="0"/>
                      </a:rPr>
                      <m:t> </m:t>
                    </m:r>
                    <m:r>
                      <a:rPr lang="en-AU" sz="1400" b="0" i="1">
                        <a:latin typeface="Cambria Math" panose="02040503050406030204" pitchFamily="18" charset="0"/>
                      </a:rPr>
                      <m:t>𝐸𝑎𝑟𝑛𝑒𝑑</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panose="02040503050406030204" pitchFamily="18" charset="0"/>
                          </a:rPr>
                          <m:t>𝐸𝐵𝐼𝑇</m:t>
                        </m:r>
                      </m:num>
                      <m:den>
                        <m:r>
                          <a:rPr lang="en-AU" sz="1400" b="0" i="1">
                            <a:latin typeface="Cambria Math" panose="02040503050406030204" pitchFamily="18" charset="0"/>
                          </a:rPr>
                          <m:t>𝐼𝑛𝑡𝑒𝑟𝑒𝑠𝑡</m:t>
                        </m:r>
                        <m:r>
                          <a:rPr lang="en-AU" sz="1400" b="0" i="1">
                            <a:latin typeface="Cambria Math" panose="02040503050406030204" pitchFamily="18" charset="0"/>
                          </a:rPr>
                          <m:t> </m:t>
                        </m:r>
                        <m:r>
                          <a:rPr lang="en-AU" sz="1400" b="0" i="1">
                            <a:latin typeface="Cambria Math" panose="02040503050406030204" pitchFamily="18" charset="0"/>
                          </a:rPr>
                          <m:t>𝐸𝑥𝑝𝑒𝑛𝑠𝑒</m:t>
                        </m:r>
                      </m:den>
                    </m:f>
                  </m:oMath>
                </m:oMathPara>
              </a14:m>
              <a:endParaRPr lang="en-AU" sz="1400"/>
            </a:p>
          </xdr:txBody>
        </xdr:sp>
      </mc:Choice>
      <mc:Fallback xmlns="">
        <xdr:sp macro="" textlink="">
          <xdr:nvSpPr>
            <xdr:cNvPr id="18" name="TextBox 2">
              <a:extLst>
                <a:ext uri="{FF2B5EF4-FFF2-40B4-BE49-F238E27FC236}">
                  <a16:creationId xmlns:a16="http://schemas.microsoft.com/office/drawing/2014/main" id="{00000000-0008-0000-0F00-000012000000}"/>
                </a:ext>
              </a:extLst>
            </xdr:cNvPr>
            <xdr:cNvSpPr txBox="1"/>
          </xdr:nvSpPr>
          <xdr:spPr>
            <a:xfrm>
              <a:off x="10400703" y="14856961"/>
              <a:ext cx="6689868" cy="54008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panose="02040503050406030204" pitchFamily="18" charset="0"/>
                </a:rPr>
                <a:t>𝑇𝑖𝑚𝑒𝑠 𝐼𝑛𝑡𝑒𝑟𝑒𝑠𝑡 𝐸𝑎𝑟𝑛𝑒𝑑</a:t>
              </a:r>
              <a:r>
                <a:rPr lang="en-AU" sz="1400" b="0" i="0">
                  <a:latin typeface="Cambria Math"/>
                </a:rPr>
                <a:t>= </a:t>
              </a:r>
              <a:r>
                <a:rPr lang="en-AU" sz="1400" b="0" i="0">
                  <a:latin typeface="Cambria Math" panose="02040503050406030204" pitchFamily="18" charset="0"/>
                </a:rPr>
                <a:t> 𝐸𝐵𝐼𝑇/(𝐼𝑛𝑡𝑒𝑟𝑒𝑠𝑡 𝐸𝑥𝑝𝑒𝑛𝑠𝑒)</a:t>
              </a:r>
              <a:endParaRPr lang="en-AU" sz="1400"/>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218960</xdr:colOff>
      <xdr:row>0</xdr:row>
      <xdr:rowOff>161842</xdr:rowOff>
    </xdr:from>
    <xdr:to>
      <xdr:col>18</xdr:col>
      <xdr:colOff>301071</xdr:colOff>
      <xdr:row>15</xdr:row>
      <xdr:rowOff>9521</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209441</xdr:colOff>
      <xdr:row>16</xdr:row>
      <xdr:rowOff>9520</xdr:rowOff>
    </xdr:from>
    <xdr:to>
      <xdr:col>18</xdr:col>
      <xdr:colOff>329632</xdr:colOff>
      <xdr:row>37</xdr:row>
      <xdr:rowOff>49028</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178021</xdr:colOff>
      <xdr:row>0</xdr:row>
      <xdr:rowOff>105197</xdr:rowOff>
    </xdr:from>
    <xdr:to>
      <xdr:col>13</xdr:col>
      <xdr:colOff>566438</xdr:colOff>
      <xdr:row>19</xdr:row>
      <xdr:rowOff>0</xdr:rowOff>
    </xdr:to>
    <xdr:pic>
      <xdr:nvPicPr>
        <xdr:cNvPr id="2" name="Picture 1" descr="Graphic image with the words help stop the spread">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0109" y="105197"/>
          <a:ext cx="6862046" cy="3431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504825</xdr:colOff>
          <xdr:row>4</xdr:row>
          <xdr:rowOff>85725</xdr:rowOff>
        </xdr:from>
        <xdr:to>
          <xdr:col>15</xdr:col>
          <xdr:colOff>295275</xdr:colOff>
          <xdr:row>33</xdr:row>
          <xdr:rowOff>161925</xdr:rowOff>
        </xdr:to>
        <xdr:sp macro="" textlink="">
          <xdr:nvSpPr>
            <xdr:cNvPr id="50177" name="Group Box 1" hidden="1">
              <a:extLst>
                <a:ext uri="{63B3BB69-23CF-44E3-9099-C40C66FF867C}">
                  <a14:compatExt spid="_x0000_s50177"/>
                </a:ext>
                <a:ext uri="{FF2B5EF4-FFF2-40B4-BE49-F238E27FC236}">
                  <a16:creationId xmlns:a16="http://schemas.microsoft.com/office/drawing/2014/main" id="{00000000-0008-0000-1200-00000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638175</xdr:colOff>
          <xdr:row>4</xdr:row>
          <xdr:rowOff>180975</xdr:rowOff>
        </xdr:from>
        <xdr:to>
          <xdr:col>5</xdr:col>
          <xdr:colOff>609600</xdr:colOff>
          <xdr:row>6</xdr:row>
          <xdr:rowOff>28575</xdr:rowOff>
        </xdr:to>
        <xdr:sp macro="" textlink="">
          <xdr:nvSpPr>
            <xdr:cNvPr id="50178" name="Option Button 2" hidden="1">
              <a:extLst>
                <a:ext uri="{63B3BB69-23CF-44E3-9099-C40C66FF867C}">
                  <a14:compatExt spid="_x0000_s50178"/>
                </a:ext>
                <a:ext uri="{FF2B5EF4-FFF2-40B4-BE49-F238E27FC236}">
                  <a16:creationId xmlns:a16="http://schemas.microsoft.com/office/drawing/2014/main" id="{00000000-0008-0000-12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 delivery service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171450</xdr:rowOff>
        </xdr:from>
        <xdr:to>
          <xdr:col>7</xdr:col>
          <xdr:colOff>381000</xdr:colOff>
          <xdr:row>12</xdr:row>
          <xdr:rowOff>19050</xdr:rowOff>
        </xdr:to>
        <xdr:sp macro="" textlink="">
          <xdr:nvSpPr>
            <xdr:cNvPr id="50179" name="Option Button 3" hidden="1">
              <a:extLst>
                <a:ext uri="{63B3BB69-23CF-44E3-9099-C40C66FF867C}">
                  <a14:compatExt spid="_x0000_s50179"/>
                </a:ext>
                <a:ext uri="{FF2B5EF4-FFF2-40B4-BE49-F238E27FC236}">
                  <a16:creationId xmlns:a16="http://schemas.microsoft.com/office/drawing/2014/main" id="{00000000-0008-0000-12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Operate with an in-house delivery service using company cars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171450</xdr:rowOff>
        </xdr:from>
        <xdr:to>
          <xdr:col>6</xdr:col>
          <xdr:colOff>933450</xdr:colOff>
          <xdr:row>21</xdr:row>
          <xdr:rowOff>19050</xdr:rowOff>
        </xdr:to>
        <xdr:sp macro="" textlink="">
          <xdr:nvSpPr>
            <xdr:cNvPr id="50180" name="Option Button 4" hidden="1">
              <a:extLst>
                <a:ext uri="{63B3BB69-23CF-44E3-9099-C40C66FF867C}">
                  <a14:compatExt spid="_x0000_s50180"/>
                </a:ext>
                <a:ext uri="{FF2B5EF4-FFF2-40B4-BE49-F238E27FC236}">
                  <a16:creationId xmlns:a16="http://schemas.microsoft.com/office/drawing/2014/main" id="{00000000-0008-0000-12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Operate with an in-house delivery service using employee private cars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171450</xdr:rowOff>
        </xdr:from>
        <xdr:to>
          <xdr:col>6</xdr:col>
          <xdr:colOff>752475</xdr:colOff>
          <xdr:row>28</xdr:row>
          <xdr:rowOff>19050</xdr:rowOff>
        </xdr:to>
        <xdr:sp macro="" textlink="">
          <xdr:nvSpPr>
            <xdr:cNvPr id="50181" name="Option Button 5" hidden="1">
              <a:extLst>
                <a:ext uri="{63B3BB69-23CF-44E3-9099-C40C66FF867C}">
                  <a14:compatExt spid="_x0000_s50181"/>
                </a:ext>
                <a:ext uri="{FF2B5EF4-FFF2-40B4-BE49-F238E27FC236}">
                  <a16:creationId xmlns:a16="http://schemas.microsoft.com/office/drawing/2014/main" id="{00000000-0008-0000-12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Operate while contracting deliveries to an external delivery service</a:t>
              </a:r>
            </a:p>
          </xdr:txBody>
        </xdr:sp>
        <xdr:clientData/>
      </xdr:twoCellAnchor>
    </mc:Choice>
    <mc:Fallback/>
  </mc:AlternateContent>
  <xdr:twoCellAnchor editAs="oneCell">
    <xdr:from>
      <xdr:col>16</xdr:col>
      <xdr:colOff>175948</xdr:colOff>
      <xdr:row>6</xdr:row>
      <xdr:rowOff>65472</xdr:rowOff>
    </xdr:from>
    <xdr:to>
      <xdr:col>21</xdr:col>
      <xdr:colOff>177345</xdr:colOff>
      <xdr:row>23</xdr:row>
      <xdr:rowOff>137565</xdr:rowOff>
    </xdr:to>
    <xdr:pic>
      <xdr:nvPicPr>
        <xdr:cNvPr id="7" name="Picture 6" descr="On the way concept illustration Free Vector">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1517" y="2188441"/>
          <a:ext cx="3238212" cy="3175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88276</xdr:rowOff>
    </xdr:from>
    <xdr:to>
      <xdr:col>13</xdr:col>
      <xdr:colOff>405338</xdr:colOff>
      <xdr:row>0</xdr:row>
      <xdr:rowOff>522467</xdr:rowOff>
    </xdr:to>
    <xdr:pic>
      <xdr:nvPicPr>
        <xdr:cNvPr id="8" name="Picture 7" descr="C:\Users\mwyeoh\Dropbox\..VisualFrontier Projects\Images\Curtin\CurtinHeader.png">
          <a:extLst>
            <a:ext uri="{FF2B5EF4-FFF2-40B4-BE49-F238E27FC236}">
              <a16:creationId xmlns:a16="http://schemas.microsoft.com/office/drawing/2014/main" id="{00000000-0008-0000-12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8276"/>
          <a:ext cx="9144736" cy="434191"/>
        </a:xfrm>
        <a:prstGeom prst="rect">
          <a:avLst/>
        </a:prstGeom>
        <a:noFill/>
        <a:ln>
          <a:noFill/>
        </a:ln>
      </xdr:spPr>
    </xdr:pic>
    <xdr:clientData/>
  </xdr:twoCellAnchor>
  <xdr:oneCellAnchor>
    <xdr:from>
      <xdr:col>1</xdr:col>
      <xdr:colOff>183397</xdr:colOff>
      <xdr:row>0</xdr:row>
      <xdr:rowOff>0</xdr:rowOff>
    </xdr:from>
    <xdr:ext cx="4899611" cy="530658"/>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830760" y="0"/>
          <a:ext cx="489961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COVID-19 DELIVERIES DECISION</a:t>
          </a:r>
        </a:p>
      </xdr:txBody>
    </xdr:sp>
    <xdr:clientData/>
  </xdr:oneCellAnchor>
  <xdr:twoCellAnchor editAs="oneCell">
    <xdr:from>
      <xdr:col>10</xdr:col>
      <xdr:colOff>178025</xdr:colOff>
      <xdr:row>0</xdr:row>
      <xdr:rowOff>587041</xdr:rowOff>
    </xdr:from>
    <xdr:to>
      <xdr:col>13</xdr:col>
      <xdr:colOff>413936</xdr:colOff>
      <xdr:row>1</xdr:row>
      <xdr:rowOff>140590</xdr:rowOff>
    </xdr:to>
    <xdr:pic>
      <xdr:nvPicPr>
        <xdr:cNvPr id="12" name="Picture 11" descr="C:\Users\mwyeoh\Dropbox\..VisualFrontier Projects\Images\Curtin\curtinbusiness.png">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5335" y="587041"/>
          <a:ext cx="2177999" cy="217096"/>
        </a:xfrm>
        <a:prstGeom prst="rect">
          <a:avLst/>
        </a:prstGeom>
        <a:noFill/>
        <a:ln>
          <a:noFill/>
        </a:ln>
      </xdr:spPr>
    </xdr:pic>
    <xdr:clientData/>
  </xdr:twoCellAnchor>
  <xdr:twoCellAnchor>
    <xdr:from>
      <xdr:col>10</xdr:col>
      <xdr:colOff>325157</xdr:colOff>
      <xdr:row>0</xdr:row>
      <xdr:rowOff>550258</xdr:rowOff>
    </xdr:from>
    <xdr:to>
      <xdr:col>13</xdr:col>
      <xdr:colOff>628612</xdr:colOff>
      <xdr:row>2</xdr:row>
      <xdr:rowOff>166916</xdr:rowOff>
    </xdr:to>
    <xdr:sp macro="" textlink="">
      <xdr:nvSpPr>
        <xdr:cNvPr id="13" name="TextBox 6">
          <a:extLst>
            <a:ext uri="{FF2B5EF4-FFF2-40B4-BE49-F238E27FC236}">
              <a16:creationId xmlns:a16="http://schemas.microsoft.com/office/drawing/2014/main" id="{00000000-0008-0000-1200-00000D000000}"/>
            </a:ext>
          </a:extLst>
        </xdr:cNvPr>
        <xdr:cNvSpPr txBox="1"/>
      </xdr:nvSpPr>
      <xdr:spPr>
        <a:xfrm>
          <a:off x="7122467" y="550258"/>
          <a:ext cx="2245543"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xdr:row>
          <xdr:rowOff>19050</xdr:rowOff>
        </xdr:from>
        <xdr:to>
          <xdr:col>3</xdr:col>
          <xdr:colOff>933450</xdr:colOff>
          <xdr:row>1</xdr:row>
          <xdr:rowOff>228600</xdr:rowOff>
        </xdr:to>
        <xdr:sp macro="" textlink="">
          <xdr:nvSpPr>
            <xdr:cNvPr id="25603" name="Drop Down 3" hidden="1">
              <a:extLst>
                <a:ext uri="{63B3BB69-23CF-44E3-9099-C40C66FF867C}">
                  <a14:compatExt spid="_x0000_s25603"/>
                </a:ext>
                <a:ext uri="{FF2B5EF4-FFF2-40B4-BE49-F238E27FC236}">
                  <a16:creationId xmlns:a16="http://schemas.microsoft.com/office/drawing/2014/main" id="{00000000-0008-0000-0100-000003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xdr:row>
          <xdr:rowOff>19050</xdr:rowOff>
        </xdr:from>
        <xdr:to>
          <xdr:col>3</xdr:col>
          <xdr:colOff>1362075</xdr:colOff>
          <xdr:row>4</xdr:row>
          <xdr:rowOff>0</xdr:rowOff>
        </xdr:to>
        <xdr:sp macro="" textlink="">
          <xdr:nvSpPr>
            <xdr:cNvPr id="25606" name="Drop Down 6" hidden="1">
              <a:extLst>
                <a:ext uri="{63B3BB69-23CF-44E3-9099-C40C66FF867C}">
                  <a14:compatExt spid="_x0000_s25606"/>
                </a:ext>
                <a:ext uri="{FF2B5EF4-FFF2-40B4-BE49-F238E27FC236}">
                  <a16:creationId xmlns:a16="http://schemas.microsoft.com/office/drawing/2014/main" id="{00000000-0008-0000-0100-000006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8</xdr:row>
          <xdr:rowOff>57150</xdr:rowOff>
        </xdr:from>
        <xdr:to>
          <xdr:col>3</xdr:col>
          <xdr:colOff>1352550</xdr:colOff>
          <xdr:row>12</xdr:row>
          <xdr:rowOff>0</xdr:rowOff>
        </xdr:to>
        <xdr:sp macro="" textlink="">
          <xdr:nvSpPr>
            <xdr:cNvPr id="25607" name="Group Box 7" hidden="1">
              <a:extLst>
                <a:ext uri="{63B3BB69-23CF-44E3-9099-C40C66FF867C}">
                  <a14:compatExt spid="_x0000_s25607"/>
                </a:ext>
                <a:ext uri="{FF2B5EF4-FFF2-40B4-BE49-F238E27FC236}">
                  <a16:creationId xmlns:a16="http://schemas.microsoft.com/office/drawing/2014/main" id="{00000000-0008-0000-0100-00000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133350</xdr:rowOff>
        </xdr:from>
        <xdr:to>
          <xdr:col>3</xdr:col>
          <xdr:colOff>885825</xdr:colOff>
          <xdr:row>9</xdr:row>
          <xdr:rowOff>123825</xdr:rowOff>
        </xdr:to>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0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Yes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133350</xdr:rowOff>
        </xdr:from>
        <xdr:to>
          <xdr:col>3</xdr:col>
          <xdr:colOff>885825</xdr:colOff>
          <xdr:row>10</xdr:row>
          <xdr:rowOff>123825</xdr:rowOff>
        </xdr:to>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19050</xdr:rowOff>
        </xdr:from>
        <xdr:to>
          <xdr:col>4</xdr:col>
          <xdr:colOff>1781175</xdr:colOff>
          <xdr:row>15</xdr:row>
          <xdr:rowOff>228600</xdr:rowOff>
        </xdr:to>
        <xdr:sp macro="" textlink="">
          <xdr:nvSpPr>
            <xdr:cNvPr id="25610" name="Drop Down 10" hidden="1">
              <a:extLst>
                <a:ext uri="{63B3BB69-23CF-44E3-9099-C40C66FF867C}">
                  <a14:compatExt spid="_x0000_s25610"/>
                </a:ext>
                <a:ext uri="{FF2B5EF4-FFF2-40B4-BE49-F238E27FC236}">
                  <a16:creationId xmlns:a16="http://schemas.microsoft.com/office/drawing/2014/main" id="{00000000-0008-0000-0100-00000A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7358</xdr:colOff>
      <xdr:row>0</xdr:row>
      <xdr:rowOff>88276</xdr:rowOff>
    </xdr:from>
    <xdr:to>
      <xdr:col>4</xdr:col>
      <xdr:colOff>4062204</xdr:colOff>
      <xdr:row>0</xdr:row>
      <xdr:rowOff>522467</xdr:rowOff>
    </xdr:to>
    <xdr:pic>
      <xdr:nvPicPr>
        <xdr:cNvPr id="10" name="Picture 9" descr="C:\Users\mwyeoh\Dropbox\..VisualFrontier Projects\Images\Curtin\CurtinHeader.png">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8" y="88276"/>
          <a:ext cx="9144000" cy="434191"/>
        </a:xfrm>
        <a:prstGeom prst="rect">
          <a:avLst/>
        </a:prstGeom>
        <a:noFill/>
        <a:ln>
          <a:noFill/>
        </a:ln>
      </xdr:spPr>
    </xdr:pic>
    <xdr:clientData/>
  </xdr:twoCellAnchor>
  <xdr:twoCellAnchor editAs="oneCell">
    <xdr:from>
      <xdr:col>4</xdr:col>
      <xdr:colOff>1708890</xdr:colOff>
      <xdr:row>2</xdr:row>
      <xdr:rowOff>125793</xdr:rowOff>
    </xdr:from>
    <xdr:to>
      <xdr:col>4</xdr:col>
      <xdr:colOff>4846243</xdr:colOff>
      <xdr:row>11</xdr:row>
      <xdr:rowOff>89012</xdr:rowOff>
    </xdr:to>
    <xdr:pic>
      <xdr:nvPicPr>
        <xdr:cNvPr id="13" name="Picture 12" descr="Silhouette of confident businesspeople Free Photo">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16748" y="926905"/>
          <a:ext cx="3137353" cy="2107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10</xdr:row>
          <xdr:rowOff>133350</xdr:rowOff>
        </xdr:from>
        <xdr:to>
          <xdr:col>3</xdr:col>
          <xdr:colOff>885825</xdr:colOff>
          <xdr:row>11</xdr:row>
          <xdr:rowOff>114300</xdr:rowOff>
        </xdr:to>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01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Rather not say </a:t>
              </a:r>
            </a:p>
          </xdr:txBody>
        </xdr:sp>
        <xdr:clientData fLocksWithSheet="0"/>
      </xdr:twoCellAnchor>
    </mc:Choice>
    <mc:Fallback/>
  </mc:AlternateContent>
  <xdr:oneCellAnchor>
    <xdr:from>
      <xdr:col>2</xdr:col>
      <xdr:colOff>111489</xdr:colOff>
      <xdr:row>0</xdr:row>
      <xdr:rowOff>0</xdr:rowOff>
    </xdr:from>
    <xdr:ext cx="2889444" cy="593304"/>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1843185" y="0"/>
          <a:ext cx="2889444"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STUDENT</a:t>
          </a:r>
          <a:r>
            <a:rPr lang="en-AU" sz="3200" b="1"/>
            <a:t> </a:t>
          </a:r>
          <a:r>
            <a:rPr lang="en-AU" sz="2800" b="1"/>
            <a:t>DETAILS</a:t>
          </a:r>
          <a:endParaRPr lang="en-AU" sz="3200" b="1"/>
        </a:p>
      </xdr:txBody>
    </xdr:sp>
    <xdr:clientData/>
  </xdr:oneCellAnchor>
  <xdr:twoCellAnchor editAs="oneCell">
    <xdr:from>
      <xdr:col>4</xdr:col>
      <xdr:colOff>1893537</xdr:colOff>
      <xdr:row>1</xdr:row>
      <xdr:rowOff>12508</xdr:rowOff>
    </xdr:from>
    <xdr:to>
      <xdr:col>4</xdr:col>
      <xdr:colOff>4071536</xdr:colOff>
      <xdr:row>1</xdr:row>
      <xdr:rowOff>229604</xdr:rowOff>
    </xdr:to>
    <xdr:pic>
      <xdr:nvPicPr>
        <xdr:cNvPr id="17" name="Picture 16" descr="C:\Users\mwyeoh\Dropbox\..VisualFrontier Projects\Images\Curtin\curtinbusiness.png">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3427" y="578950"/>
          <a:ext cx="2177999" cy="217096"/>
        </a:xfrm>
        <a:prstGeom prst="rect">
          <a:avLst/>
        </a:prstGeom>
        <a:noFill/>
        <a:ln>
          <a:noFill/>
        </a:ln>
      </xdr:spPr>
    </xdr:pic>
    <xdr:clientData/>
  </xdr:twoCellAnchor>
  <xdr:twoCellAnchor>
    <xdr:from>
      <xdr:col>4</xdr:col>
      <xdr:colOff>2040669</xdr:colOff>
      <xdr:row>0</xdr:row>
      <xdr:rowOff>542167</xdr:rowOff>
    </xdr:from>
    <xdr:to>
      <xdr:col>4</xdr:col>
      <xdr:colOff>4286212</xdr:colOff>
      <xdr:row>2</xdr:row>
      <xdr:rowOff>21260</xdr:rowOff>
    </xdr:to>
    <xdr:sp macro="" textlink="">
      <xdr:nvSpPr>
        <xdr:cNvPr id="18" name="TextBox 6">
          <a:extLst>
            <a:ext uri="{FF2B5EF4-FFF2-40B4-BE49-F238E27FC236}">
              <a16:creationId xmlns:a16="http://schemas.microsoft.com/office/drawing/2014/main" id="{00000000-0008-0000-0100-000012000000}"/>
            </a:ext>
          </a:extLst>
        </xdr:cNvPr>
        <xdr:cNvSpPr txBox="1"/>
      </xdr:nvSpPr>
      <xdr:spPr>
        <a:xfrm>
          <a:off x="7130559" y="542167"/>
          <a:ext cx="2245543"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476250</xdr:colOff>
          <xdr:row>3</xdr:row>
          <xdr:rowOff>85725</xdr:rowOff>
        </xdr:from>
        <xdr:to>
          <xdr:col>14</xdr:col>
          <xdr:colOff>152400</xdr:colOff>
          <xdr:row>13</xdr:row>
          <xdr:rowOff>114300</xdr:rowOff>
        </xdr:to>
        <xdr:sp macro="" textlink="">
          <xdr:nvSpPr>
            <xdr:cNvPr id="58369" name="Group Box 1" hidden="1">
              <a:extLst>
                <a:ext uri="{63B3BB69-23CF-44E3-9099-C40C66FF867C}">
                  <a14:compatExt spid="_x0000_s58369"/>
                </a:ext>
                <a:ext uri="{FF2B5EF4-FFF2-40B4-BE49-F238E27FC236}">
                  <a16:creationId xmlns:a16="http://schemas.microsoft.com/office/drawing/2014/main" id="{00000000-0008-0000-1300-00000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3</xdr:row>
          <xdr:rowOff>161925</xdr:rowOff>
        </xdr:from>
        <xdr:to>
          <xdr:col>3</xdr:col>
          <xdr:colOff>676275</xdr:colOff>
          <xdr:row>5</xdr:row>
          <xdr:rowOff>9525</xdr:rowOff>
        </xdr:to>
        <xdr:sp macro="" textlink="">
          <xdr:nvSpPr>
            <xdr:cNvPr id="58370" name="Option Button 2" hidden="1">
              <a:extLst>
                <a:ext uri="{63B3BB69-23CF-44E3-9099-C40C66FF867C}">
                  <a14:compatExt spid="_x0000_s58370"/>
                </a:ext>
                <a:ext uri="{FF2B5EF4-FFF2-40B4-BE49-F238E27FC236}">
                  <a16:creationId xmlns:a16="http://schemas.microsoft.com/office/drawing/2014/main" id="{00000000-0008-0000-13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Offer Take Away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xdr:row>
          <xdr:rowOff>161925</xdr:rowOff>
        </xdr:from>
        <xdr:to>
          <xdr:col>3</xdr:col>
          <xdr:colOff>238125</xdr:colOff>
          <xdr:row>10</xdr:row>
          <xdr:rowOff>9525</xdr:rowOff>
        </xdr:to>
        <xdr:sp macro="" textlink="">
          <xdr:nvSpPr>
            <xdr:cNvPr id="58371" name="Option Button 3" hidden="1">
              <a:extLst>
                <a:ext uri="{63B3BB69-23CF-44E3-9099-C40C66FF867C}">
                  <a14:compatExt spid="_x0000_s58371"/>
                </a:ext>
                <a:ext uri="{FF2B5EF4-FFF2-40B4-BE49-F238E27FC236}">
                  <a16:creationId xmlns:a16="http://schemas.microsoft.com/office/drawing/2014/main" id="{00000000-0008-0000-13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 Take Away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18</xdr:row>
          <xdr:rowOff>104775</xdr:rowOff>
        </xdr:from>
        <xdr:to>
          <xdr:col>14</xdr:col>
          <xdr:colOff>190500</xdr:colOff>
          <xdr:row>28</xdr:row>
          <xdr:rowOff>190500</xdr:rowOff>
        </xdr:to>
        <xdr:sp macro="" textlink="">
          <xdr:nvSpPr>
            <xdr:cNvPr id="58372" name="Group Box 4" hidden="1">
              <a:extLst>
                <a:ext uri="{63B3BB69-23CF-44E3-9099-C40C66FF867C}">
                  <a14:compatExt spid="_x0000_s58372"/>
                </a:ext>
                <a:ext uri="{FF2B5EF4-FFF2-40B4-BE49-F238E27FC236}">
                  <a16:creationId xmlns:a16="http://schemas.microsoft.com/office/drawing/2014/main" id="{00000000-0008-0000-1300-00000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638175</xdr:colOff>
          <xdr:row>18</xdr:row>
          <xdr:rowOff>171450</xdr:rowOff>
        </xdr:from>
        <xdr:to>
          <xdr:col>3</xdr:col>
          <xdr:colOff>857250</xdr:colOff>
          <xdr:row>20</xdr:row>
          <xdr:rowOff>19050</xdr:rowOff>
        </xdr:to>
        <xdr:sp macro="" textlink="">
          <xdr:nvSpPr>
            <xdr:cNvPr id="58373" name="Option Button 5" hidden="1">
              <a:extLst>
                <a:ext uri="{63B3BB69-23CF-44E3-9099-C40C66FF867C}">
                  <a14:compatExt spid="_x0000_s58373"/>
                </a:ext>
                <a:ext uri="{FF2B5EF4-FFF2-40B4-BE49-F238E27FC236}">
                  <a16:creationId xmlns:a16="http://schemas.microsoft.com/office/drawing/2014/main" id="{00000000-0008-0000-13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Sell at normal prices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161925</xdr:rowOff>
        </xdr:from>
        <xdr:to>
          <xdr:col>3</xdr:col>
          <xdr:colOff>866775</xdr:colOff>
          <xdr:row>22</xdr:row>
          <xdr:rowOff>9525</xdr:rowOff>
        </xdr:to>
        <xdr:sp macro="" textlink="">
          <xdr:nvSpPr>
            <xdr:cNvPr id="58374" name="Option Button 6" hidden="1">
              <a:extLst>
                <a:ext uri="{63B3BB69-23CF-44E3-9099-C40C66FF867C}">
                  <a14:compatExt spid="_x0000_s58374"/>
                </a:ext>
                <a:ext uri="{FF2B5EF4-FFF2-40B4-BE49-F238E27FC236}">
                  <a16:creationId xmlns:a16="http://schemas.microsoft.com/office/drawing/2014/main" id="{00000000-0008-0000-13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Offer Combo Deals</a:t>
              </a:r>
            </a:p>
          </xdr:txBody>
        </xdr:sp>
        <xdr:clientData/>
      </xdr:twoCellAnchor>
    </mc:Choice>
    <mc:Fallback/>
  </mc:AlternateContent>
  <xdr:twoCellAnchor editAs="oneCell">
    <xdr:from>
      <xdr:col>15</xdr:col>
      <xdr:colOff>110430</xdr:colOff>
      <xdr:row>16</xdr:row>
      <xdr:rowOff>35700</xdr:rowOff>
    </xdr:from>
    <xdr:to>
      <xdr:col>19</xdr:col>
      <xdr:colOff>230942</xdr:colOff>
      <xdr:row>30</xdr:row>
      <xdr:rowOff>83300</xdr:rowOff>
    </xdr:to>
    <xdr:pic>
      <xdr:nvPicPr>
        <xdr:cNvPr id="9" name="Picture 8" descr="Culinary instagram post collection with photo Free Vector">
          <a:extLst>
            <a:ext uri="{FF2B5EF4-FFF2-40B4-BE49-F238E27FC236}">
              <a16:creationId xmlns:a16="http://schemas.microsoft.com/office/drawing/2014/main" id="{00000000-0008-0000-1300-000009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81" t="4702" r="51536" b="53277"/>
        <a:stretch/>
      </xdr:blipFill>
      <xdr:spPr bwMode="auto">
        <a:xfrm>
          <a:off x="10611036" y="3748516"/>
          <a:ext cx="2709964" cy="26560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88276</xdr:rowOff>
    </xdr:from>
    <xdr:to>
      <xdr:col>12</xdr:col>
      <xdr:colOff>591455</xdr:colOff>
      <xdr:row>0</xdr:row>
      <xdr:rowOff>516752</xdr:rowOff>
    </xdr:to>
    <xdr:pic>
      <xdr:nvPicPr>
        <xdr:cNvPr id="10" name="Picture 9" descr="C:\Users\mwyeoh\Dropbox\..VisualFrontier Projects\Images\Curtin\CurtinHeader.png">
          <a:extLst>
            <a:ext uri="{FF2B5EF4-FFF2-40B4-BE49-F238E27FC236}">
              <a16:creationId xmlns:a16="http://schemas.microsoft.com/office/drawing/2014/main" id="{00000000-0008-0000-13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8276"/>
          <a:ext cx="9144736" cy="434191"/>
        </a:xfrm>
        <a:prstGeom prst="rect">
          <a:avLst/>
        </a:prstGeom>
        <a:noFill/>
        <a:ln>
          <a:noFill/>
        </a:ln>
      </xdr:spPr>
    </xdr:pic>
    <xdr:clientData/>
  </xdr:twoCellAnchor>
  <xdr:oneCellAnchor>
    <xdr:from>
      <xdr:col>2</xdr:col>
      <xdr:colOff>116059</xdr:colOff>
      <xdr:row>0</xdr:row>
      <xdr:rowOff>0</xdr:rowOff>
    </xdr:from>
    <xdr:ext cx="3739550" cy="530658"/>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1410785" y="0"/>
          <a:ext cx="3739550"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COVID-19 OPERATIONS</a:t>
          </a:r>
        </a:p>
      </xdr:txBody>
    </xdr:sp>
    <xdr:clientData/>
  </xdr:oneCellAnchor>
  <xdr:twoCellAnchor editAs="oneCell">
    <xdr:from>
      <xdr:col>10</xdr:col>
      <xdr:colOff>24277</xdr:colOff>
      <xdr:row>0</xdr:row>
      <xdr:rowOff>578949</xdr:rowOff>
    </xdr:from>
    <xdr:to>
      <xdr:col>12</xdr:col>
      <xdr:colOff>591489</xdr:colOff>
      <xdr:row>0</xdr:row>
      <xdr:rowOff>788425</xdr:rowOff>
    </xdr:to>
    <xdr:pic>
      <xdr:nvPicPr>
        <xdr:cNvPr id="14" name="Picture 13" descr="C:\Users\mwyeoh\Dropbox\..VisualFrontier Projects\Images\Curtin\curtinbusiness.png">
          <a:extLst>
            <a:ext uri="{FF2B5EF4-FFF2-40B4-BE49-F238E27FC236}">
              <a16:creationId xmlns:a16="http://schemas.microsoft.com/office/drawing/2014/main" id="{00000000-0008-0000-13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59151" y="578949"/>
          <a:ext cx="2177999" cy="217096"/>
        </a:xfrm>
        <a:prstGeom prst="rect">
          <a:avLst/>
        </a:prstGeom>
        <a:noFill/>
        <a:ln>
          <a:noFill/>
        </a:ln>
      </xdr:spPr>
    </xdr:pic>
    <xdr:clientData/>
  </xdr:twoCellAnchor>
  <xdr:twoCellAnchor>
    <xdr:from>
      <xdr:col>10</xdr:col>
      <xdr:colOff>171409</xdr:colOff>
      <xdr:row>0</xdr:row>
      <xdr:rowOff>542166</xdr:rowOff>
    </xdr:from>
    <xdr:to>
      <xdr:col>13</xdr:col>
      <xdr:colOff>151182</xdr:colOff>
      <xdr:row>0</xdr:row>
      <xdr:rowOff>822371</xdr:rowOff>
    </xdr:to>
    <xdr:sp macro="" textlink="">
      <xdr:nvSpPr>
        <xdr:cNvPr id="15" name="TextBox 6">
          <a:extLst>
            <a:ext uri="{FF2B5EF4-FFF2-40B4-BE49-F238E27FC236}">
              <a16:creationId xmlns:a16="http://schemas.microsoft.com/office/drawing/2014/main" id="{00000000-0008-0000-1300-00000F000000}"/>
            </a:ext>
          </a:extLst>
        </xdr:cNvPr>
        <xdr:cNvSpPr txBox="1"/>
      </xdr:nvSpPr>
      <xdr:spPr>
        <a:xfrm>
          <a:off x="7106283" y="542166"/>
          <a:ext cx="2245543"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twoCellAnchor editAs="oneCell">
    <xdr:from>
      <xdr:col>14</xdr:col>
      <xdr:colOff>399602</xdr:colOff>
      <xdr:row>1</xdr:row>
      <xdr:rowOff>78440</xdr:rowOff>
    </xdr:from>
    <xdr:to>
      <xdr:col>19</xdr:col>
      <xdr:colOff>571500</xdr:colOff>
      <xdr:row>12</xdr:row>
      <xdr:rowOff>188170</xdr:rowOff>
    </xdr:to>
    <xdr:pic>
      <xdr:nvPicPr>
        <xdr:cNvPr id="16" name="Picture 15" descr="Street food frame on wooden background">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33249" y="952499"/>
          <a:ext cx="3197486" cy="2104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179294</xdr:colOff>
      <xdr:row>5</xdr:row>
      <xdr:rowOff>1</xdr:rowOff>
    </xdr:from>
    <xdr:to>
      <xdr:col>19</xdr:col>
      <xdr:colOff>145676</xdr:colOff>
      <xdr:row>10</xdr:row>
      <xdr:rowOff>17930</xdr:rowOff>
    </xdr:to>
    <xdr:sp macro="" textlink="">
      <xdr:nvSpPr>
        <xdr:cNvPr id="4" name="Explosion: 8 Points 3">
          <a:extLst>
            <a:ext uri="{FF2B5EF4-FFF2-40B4-BE49-F238E27FC236}">
              <a16:creationId xmlns:a16="http://schemas.microsoft.com/office/drawing/2014/main" id="{00000000-0008-0000-1300-000004000000}"/>
            </a:ext>
          </a:extLst>
        </xdr:cNvPr>
        <xdr:cNvSpPr/>
      </xdr:nvSpPr>
      <xdr:spPr>
        <a:xfrm>
          <a:off x="9805147" y="1636060"/>
          <a:ext cx="2342029" cy="970429"/>
        </a:xfrm>
        <a:prstGeom prst="irregularSeal1">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n-AU" sz="1400" b="1"/>
            <a:t>TAKEAWAY</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17</xdr:row>
          <xdr:rowOff>180975</xdr:rowOff>
        </xdr:from>
        <xdr:to>
          <xdr:col>2</xdr:col>
          <xdr:colOff>3286125</xdr:colOff>
          <xdr:row>18</xdr:row>
          <xdr:rowOff>190500</xdr:rowOff>
        </xdr:to>
        <xdr:sp macro="" textlink="">
          <xdr:nvSpPr>
            <xdr:cNvPr id="59393" name="Scroll Bar 1" hidden="1">
              <a:extLst>
                <a:ext uri="{63B3BB69-23CF-44E3-9099-C40C66FF867C}">
                  <a14:compatExt spid="_x0000_s59393"/>
                </a:ext>
                <a:ext uri="{FF2B5EF4-FFF2-40B4-BE49-F238E27FC236}">
                  <a16:creationId xmlns:a16="http://schemas.microsoft.com/office/drawing/2014/main" id="{00000000-0008-0000-1400-000001E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257453</xdr:colOff>
      <xdr:row>19</xdr:row>
      <xdr:rowOff>26078</xdr:rowOff>
    </xdr:from>
    <xdr:to>
      <xdr:col>10</xdr:col>
      <xdr:colOff>434525</xdr:colOff>
      <xdr:row>25</xdr:row>
      <xdr:rowOff>124015</xdr:rowOff>
    </xdr:to>
    <xdr:pic>
      <xdr:nvPicPr>
        <xdr:cNvPr id="6" name="Picture 5" descr="Job Retention Scheme will remain open until the end of October ...">
          <a:extLst>
            <a:ext uri="{FF2B5EF4-FFF2-40B4-BE49-F238E27FC236}">
              <a16:creationId xmlns:a16="http://schemas.microsoft.com/office/drawing/2014/main" id="{00000000-0008-0000-14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5721" b="52031"/>
        <a:stretch/>
      </xdr:blipFill>
      <xdr:spPr bwMode="auto">
        <a:xfrm>
          <a:off x="8356525" y="3502135"/>
          <a:ext cx="2770333" cy="127817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74765</xdr:colOff>
      <xdr:row>11</xdr:row>
      <xdr:rowOff>127664</xdr:rowOff>
    </xdr:from>
    <xdr:to>
      <xdr:col>10</xdr:col>
      <xdr:colOff>534274</xdr:colOff>
      <xdr:row>20</xdr:row>
      <xdr:rowOff>1865</xdr:rowOff>
    </xdr:to>
    <xdr:pic>
      <xdr:nvPicPr>
        <xdr:cNvPr id="4" name="Picture 3" descr="Coronavirus: Is a wage subsidy better than stimulus checks, SBA loans?">
          <a:extLst>
            <a:ext uri="{FF2B5EF4-FFF2-40B4-BE49-F238E27FC236}">
              <a16:creationId xmlns:a16="http://schemas.microsoft.com/office/drawing/2014/main" id="{00000000-0008-0000-14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796" r="18695"/>
        <a:stretch/>
      </xdr:blipFill>
      <xdr:spPr bwMode="auto">
        <a:xfrm>
          <a:off x="9468562" y="2140118"/>
          <a:ext cx="1754236" cy="1603288"/>
        </a:xfrm>
        <a:prstGeom prst="roundRect">
          <a:avLst>
            <a:gd name="adj" fmla="val 4167"/>
          </a:avLst>
        </a:prstGeom>
        <a:solidFill>
          <a:srgbClr val="FFFFFF"/>
        </a:solidFill>
        <a:ln w="76200" cap="sq">
          <a:solidFill>
            <a:srgbClr val="292929"/>
          </a:solidFill>
          <a:miter lim="800000"/>
        </a:ln>
        <a:effectLst/>
        <a:scene3d>
          <a:camera prst="orthographicFront"/>
          <a:lightRig rig="threePt" dir="t">
            <a:rot lat="0" lon="0" rev="2700000"/>
          </a:lightRig>
        </a:scene3d>
        <a:sp3d>
          <a:bevelT h="38100"/>
          <a:contourClr>
            <a:srgbClr val="C0C0C0"/>
          </a:contourClr>
        </a:sp3d>
      </xdr:spPr>
    </xdr:pic>
    <xdr:clientData/>
  </xdr:twoCellAnchor>
  <xdr:twoCellAnchor editAs="oneCell">
    <xdr:from>
      <xdr:col>6</xdr:col>
      <xdr:colOff>582272</xdr:colOff>
      <xdr:row>5</xdr:row>
      <xdr:rowOff>99569</xdr:rowOff>
    </xdr:from>
    <xdr:to>
      <xdr:col>9</xdr:col>
      <xdr:colOff>449334</xdr:colOff>
      <xdr:row>12</xdr:row>
      <xdr:rowOff>72539</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0561" y="1619465"/>
          <a:ext cx="1809149" cy="1260658"/>
        </a:xfrm>
        <a:prstGeom prst="rect">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88276</xdr:rowOff>
    </xdr:from>
    <xdr:to>
      <xdr:col>5</xdr:col>
      <xdr:colOff>15540</xdr:colOff>
      <xdr:row>0</xdr:row>
      <xdr:rowOff>520562</xdr:rowOff>
    </xdr:to>
    <xdr:pic>
      <xdr:nvPicPr>
        <xdr:cNvPr id="7" name="Picture 6" descr="C:\Users\mwyeoh\Dropbox\..VisualFrontier Projects\Images\Curtin\CurtinHeader.png">
          <a:extLst>
            <a:ext uri="{FF2B5EF4-FFF2-40B4-BE49-F238E27FC236}">
              <a16:creationId xmlns:a16="http://schemas.microsoft.com/office/drawing/2014/main" id="{00000000-0008-0000-14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0352" y="88276"/>
          <a:ext cx="9144736" cy="434191"/>
        </a:xfrm>
        <a:prstGeom prst="rect">
          <a:avLst/>
        </a:prstGeom>
        <a:noFill/>
        <a:ln>
          <a:noFill/>
        </a:ln>
      </xdr:spPr>
    </xdr:pic>
    <xdr:clientData/>
  </xdr:twoCellAnchor>
  <xdr:oneCellAnchor>
    <xdr:from>
      <xdr:col>1</xdr:col>
      <xdr:colOff>78507</xdr:colOff>
      <xdr:row>0</xdr:row>
      <xdr:rowOff>0</xdr:rowOff>
    </xdr:from>
    <xdr:ext cx="5010859" cy="530658"/>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676614" y="0"/>
          <a:ext cx="5010859"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COVID-19 EMPLOYMENT POLICY</a:t>
          </a:r>
        </a:p>
      </xdr:txBody>
    </xdr:sp>
    <xdr:clientData/>
  </xdr:oneCellAnchor>
  <xdr:twoCellAnchor editAs="oneCell">
    <xdr:from>
      <xdr:col>4</xdr:col>
      <xdr:colOff>248479</xdr:colOff>
      <xdr:row>0</xdr:row>
      <xdr:rowOff>578596</xdr:rowOff>
    </xdr:from>
    <xdr:to>
      <xdr:col>5</xdr:col>
      <xdr:colOff>116853</xdr:colOff>
      <xdr:row>0</xdr:row>
      <xdr:rowOff>793787</xdr:rowOff>
    </xdr:to>
    <xdr:pic>
      <xdr:nvPicPr>
        <xdr:cNvPr id="11" name="Picture 10" descr="C:\Users\mwyeoh\Dropbox\..VisualFrontier Projects\Images\Curtin\curtinbusiness.png">
          <a:extLst>
            <a:ext uri="{FF2B5EF4-FFF2-40B4-BE49-F238E27FC236}">
              <a16:creationId xmlns:a16="http://schemas.microsoft.com/office/drawing/2014/main" id="{00000000-0008-0000-1400-00000B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94783" y="578596"/>
          <a:ext cx="2088113" cy="215191"/>
        </a:xfrm>
        <a:prstGeom prst="rect">
          <a:avLst/>
        </a:prstGeom>
        <a:noFill/>
        <a:ln>
          <a:noFill/>
        </a:ln>
      </xdr:spPr>
    </xdr:pic>
    <xdr:clientData/>
  </xdr:twoCellAnchor>
  <xdr:twoCellAnchor>
    <xdr:from>
      <xdr:col>4</xdr:col>
      <xdr:colOff>414131</xdr:colOff>
      <xdr:row>0</xdr:row>
      <xdr:rowOff>541813</xdr:rowOff>
    </xdr:from>
    <xdr:to>
      <xdr:col>5</xdr:col>
      <xdr:colOff>287714</xdr:colOff>
      <xdr:row>1</xdr:row>
      <xdr:rowOff>10322</xdr:rowOff>
    </xdr:to>
    <xdr:sp macro="" textlink="">
      <xdr:nvSpPr>
        <xdr:cNvPr id="12" name="TextBox 6">
          <a:extLst>
            <a:ext uri="{FF2B5EF4-FFF2-40B4-BE49-F238E27FC236}">
              <a16:creationId xmlns:a16="http://schemas.microsoft.com/office/drawing/2014/main" id="{00000000-0008-0000-1400-00000C000000}"/>
            </a:ext>
          </a:extLst>
        </xdr:cNvPr>
        <xdr:cNvSpPr txBox="1"/>
      </xdr:nvSpPr>
      <xdr:spPr>
        <a:xfrm>
          <a:off x="6460435" y="541813"/>
          <a:ext cx="2093322"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166069</xdr:colOff>
      <xdr:row>0</xdr:row>
      <xdr:rowOff>111266</xdr:rowOff>
    </xdr:from>
    <xdr:to>
      <xdr:col>18</xdr:col>
      <xdr:colOff>1509</xdr:colOff>
      <xdr:row>16</xdr:row>
      <xdr:rowOff>30344</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151724</xdr:colOff>
      <xdr:row>16</xdr:row>
      <xdr:rowOff>91035</xdr:rowOff>
    </xdr:from>
    <xdr:to>
      <xdr:col>18</xdr:col>
      <xdr:colOff>2499</xdr:colOff>
      <xdr:row>38</xdr:row>
      <xdr:rowOff>171956</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184053</xdr:colOff>
      <xdr:row>1</xdr:row>
      <xdr:rowOff>24327</xdr:rowOff>
    </xdr:from>
    <xdr:to>
      <xdr:col>18</xdr:col>
      <xdr:colOff>116980</xdr:colOff>
      <xdr:row>11</xdr:row>
      <xdr:rowOff>133121</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137565</xdr:colOff>
      <xdr:row>1</xdr:row>
      <xdr:rowOff>347953</xdr:rowOff>
    </xdr:from>
    <xdr:to>
      <xdr:col>4</xdr:col>
      <xdr:colOff>534076</xdr:colOff>
      <xdr:row>3</xdr:row>
      <xdr:rowOff>530508</xdr:rowOff>
    </xdr:to>
    <xdr:pic>
      <xdr:nvPicPr>
        <xdr:cNvPr id="3" name="Picture 2" descr="Flatten the Curv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565" y="534070"/>
          <a:ext cx="2985962" cy="1671489"/>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333375</xdr:colOff>
          <xdr:row>6</xdr:row>
          <xdr:rowOff>76200</xdr:rowOff>
        </xdr:from>
        <xdr:to>
          <xdr:col>15</xdr:col>
          <xdr:colOff>504825</xdr:colOff>
          <xdr:row>29</xdr:row>
          <xdr:rowOff>95250</xdr:rowOff>
        </xdr:to>
        <xdr:sp macro="" textlink="">
          <xdr:nvSpPr>
            <xdr:cNvPr id="68610" name="Group Box 2" hidden="1">
              <a:extLst>
                <a:ext uri="{63B3BB69-23CF-44E3-9099-C40C66FF867C}">
                  <a14:compatExt spid="_x0000_s68610"/>
                </a:ext>
                <a:ext uri="{FF2B5EF4-FFF2-40B4-BE49-F238E27FC236}">
                  <a16:creationId xmlns:a16="http://schemas.microsoft.com/office/drawing/2014/main" id="{00000000-0008-0000-1700-000002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180975</xdr:rowOff>
        </xdr:from>
        <xdr:to>
          <xdr:col>3</xdr:col>
          <xdr:colOff>28575</xdr:colOff>
          <xdr:row>8</xdr:row>
          <xdr:rowOff>28575</xdr:rowOff>
        </xdr:to>
        <xdr:sp macro="" textlink="">
          <xdr:nvSpPr>
            <xdr:cNvPr id="68611" name="Option Button 3" hidden="1">
              <a:extLst>
                <a:ext uri="{63B3BB69-23CF-44E3-9099-C40C66FF867C}">
                  <a14:compatExt spid="_x0000_s68611"/>
                </a:ext>
                <a:ext uri="{FF2B5EF4-FFF2-40B4-BE49-F238E27FC236}">
                  <a16:creationId xmlns:a16="http://schemas.microsoft.com/office/drawing/2014/main" id="{00000000-0008-0000-17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Re-open in July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180975</xdr:rowOff>
        </xdr:from>
        <xdr:to>
          <xdr:col>3</xdr:col>
          <xdr:colOff>47625</xdr:colOff>
          <xdr:row>11</xdr:row>
          <xdr:rowOff>28575</xdr:rowOff>
        </xdr:to>
        <xdr:sp macro="" textlink="">
          <xdr:nvSpPr>
            <xdr:cNvPr id="68612" name="Option Button 4" hidden="1">
              <a:extLst>
                <a:ext uri="{63B3BB69-23CF-44E3-9099-C40C66FF867C}">
                  <a14:compatExt spid="_x0000_s68612"/>
                </a:ext>
                <a:ext uri="{FF2B5EF4-FFF2-40B4-BE49-F238E27FC236}">
                  <a16:creationId xmlns:a16="http://schemas.microsoft.com/office/drawing/2014/main" id="{00000000-0008-0000-17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Re-open in August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171450</xdr:rowOff>
        </xdr:from>
        <xdr:to>
          <xdr:col>4</xdr:col>
          <xdr:colOff>19050</xdr:colOff>
          <xdr:row>27</xdr:row>
          <xdr:rowOff>19050</xdr:rowOff>
        </xdr:to>
        <xdr:sp macro="" textlink="">
          <xdr:nvSpPr>
            <xdr:cNvPr id="68613" name="Option Button 5" hidden="1">
              <a:extLst>
                <a:ext uri="{63B3BB69-23CF-44E3-9099-C40C66FF867C}">
                  <a14:compatExt spid="_x0000_s68613"/>
                </a:ext>
                <a:ext uri="{FF2B5EF4-FFF2-40B4-BE49-F238E27FC236}">
                  <a16:creationId xmlns:a16="http://schemas.microsoft.com/office/drawing/2014/main" id="{00000000-0008-0000-17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Stay closed to Dine-in Customers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171450</xdr:rowOff>
        </xdr:from>
        <xdr:to>
          <xdr:col>3</xdr:col>
          <xdr:colOff>28575</xdr:colOff>
          <xdr:row>15</xdr:row>
          <xdr:rowOff>19050</xdr:rowOff>
        </xdr:to>
        <xdr:sp macro="" textlink="">
          <xdr:nvSpPr>
            <xdr:cNvPr id="68614" name="Option Button 6" hidden="1">
              <a:extLst>
                <a:ext uri="{63B3BB69-23CF-44E3-9099-C40C66FF867C}">
                  <a14:compatExt spid="_x0000_s68614"/>
                </a:ext>
                <a:ext uri="{FF2B5EF4-FFF2-40B4-BE49-F238E27FC236}">
                  <a16:creationId xmlns:a16="http://schemas.microsoft.com/office/drawing/2014/main" id="{00000000-0008-0000-1700-00000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Re-open in September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161925</xdr:rowOff>
        </xdr:from>
        <xdr:to>
          <xdr:col>3</xdr:col>
          <xdr:colOff>28575</xdr:colOff>
          <xdr:row>18</xdr:row>
          <xdr:rowOff>9525</xdr:rowOff>
        </xdr:to>
        <xdr:sp macro="" textlink="">
          <xdr:nvSpPr>
            <xdr:cNvPr id="68615" name="Option Button 7" hidden="1">
              <a:extLst>
                <a:ext uri="{63B3BB69-23CF-44E3-9099-C40C66FF867C}">
                  <a14:compatExt spid="_x0000_s68615"/>
                </a:ext>
                <a:ext uri="{FF2B5EF4-FFF2-40B4-BE49-F238E27FC236}">
                  <a16:creationId xmlns:a16="http://schemas.microsoft.com/office/drawing/2014/main" id="{00000000-0008-0000-1700-00000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Re-open in October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180975</xdr:rowOff>
        </xdr:from>
        <xdr:to>
          <xdr:col>3</xdr:col>
          <xdr:colOff>28575</xdr:colOff>
          <xdr:row>21</xdr:row>
          <xdr:rowOff>28575</xdr:rowOff>
        </xdr:to>
        <xdr:sp macro="" textlink="">
          <xdr:nvSpPr>
            <xdr:cNvPr id="68616" name="Option Button 8" hidden="1">
              <a:extLst>
                <a:ext uri="{63B3BB69-23CF-44E3-9099-C40C66FF867C}">
                  <a14:compatExt spid="_x0000_s68616"/>
                </a:ext>
                <a:ext uri="{FF2B5EF4-FFF2-40B4-BE49-F238E27FC236}">
                  <a16:creationId xmlns:a16="http://schemas.microsoft.com/office/drawing/2014/main" id="{00000000-0008-0000-1700-00000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Re-open in November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171450</xdr:rowOff>
        </xdr:from>
        <xdr:to>
          <xdr:col>4</xdr:col>
          <xdr:colOff>19050</xdr:colOff>
          <xdr:row>24</xdr:row>
          <xdr:rowOff>19050</xdr:rowOff>
        </xdr:to>
        <xdr:sp macro="" textlink="">
          <xdr:nvSpPr>
            <xdr:cNvPr id="68617" name="Option Button 9" hidden="1">
              <a:extLst>
                <a:ext uri="{63B3BB69-23CF-44E3-9099-C40C66FF867C}">
                  <a14:compatExt spid="_x0000_s68617"/>
                </a:ext>
                <a:ext uri="{FF2B5EF4-FFF2-40B4-BE49-F238E27FC236}">
                  <a16:creationId xmlns:a16="http://schemas.microsoft.com/office/drawing/2014/main" id="{00000000-0008-0000-1700-00000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Re-open in December</a:t>
              </a:r>
            </a:p>
          </xdr:txBody>
        </xdr:sp>
        <xdr:clientData/>
      </xdr:twoCellAnchor>
    </mc:Choice>
    <mc:Fallback/>
  </mc:AlternateContent>
  <xdr:twoCellAnchor editAs="oneCell">
    <xdr:from>
      <xdr:col>0</xdr:col>
      <xdr:colOff>258945</xdr:colOff>
      <xdr:row>0</xdr:row>
      <xdr:rowOff>88275</xdr:rowOff>
    </xdr:from>
    <xdr:to>
      <xdr:col>14</xdr:col>
      <xdr:colOff>343297</xdr:colOff>
      <xdr:row>0</xdr:row>
      <xdr:rowOff>520259</xdr:rowOff>
    </xdr:to>
    <xdr:pic>
      <xdr:nvPicPr>
        <xdr:cNvPr id="11" name="Picture 10" descr="C:\Users\mwyeoh\Dropbox\..VisualFrontier Projects\Images\Curtin\CurtinHeader.png">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8945" y="88275"/>
          <a:ext cx="9147432" cy="431984"/>
        </a:xfrm>
        <a:prstGeom prst="rect">
          <a:avLst/>
        </a:prstGeom>
        <a:noFill/>
        <a:ln>
          <a:noFill/>
        </a:ln>
      </xdr:spPr>
    </xdr:pic>
    <xdr:clientData/>
  </xdr:twoCellAnchor>
  <xdr:twoCellAnchor editAs="oneCell">
    <xdr:from>
      <xdr:col>11</xdr:col>
      <xdr:colOff>112372</xdr:colOff>
      <xdr:row>0</xdr:row>
      <xdr:rowOff>564237</xdr:rowOff>
    </xdr:from>
    <xdr:to>
      <xdr:col>14</xdr:col>
      <xdr:colOff>350979</xdr:colOff>
      <xdr:row>0</xdr:row>
      <xdr:rowOff>784031</xdr:rowOff>
    </xdr:to>
    <xdr:pic>
      <xdr:nvPicPr>
        <xdr:cNvPr id="12" name="Picture 11" descr="C:\Users\mwyeoh\Dropbox\..VisualFrontier Projects\Images\Curtin\curtinbusiness.png">
          <a:extLst>
            <a:ext uri="{FF2B5EF4-FFF2-40B4-BE49-F238E27FC236}">
              <a16:creationId xmlns:a16="http://schemas.microsoft.com/office/drawing/2014/main" id="{00000000-0008-0000-1700-00000C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3363" y="564237"/>
          <a:ext cx="2180696" cy="219794"/>
        </a:xfrm>
        <a:prstGeom prst="rect">
          <a:avLst/>
        </a:prstGeom>
        <a:noFill/>
        <a:ln>
          <a:noFill/>
        </a:ln>
      </xdr:spPr>
    </xdr:pic>
    <xdr:clientData/>
  </xdr:twoCellAnchor>
  <xdr:twoCellAnchor>
    <xdr:from>
      <xdr:col>11</xdr:col>
      <xdr:colOff>259504</xdr:colOff>
      <xdr:row>0</xdr:row>
      <xdr:rowOff>527454</xdr:rowOff>
    </xdr:from>
    <xdr:to>
      <xdr:col>15</xdr:col>
      <xdr:colOff>193422</xdr:colOff>
      <xdr:row>1</xdr:row>
      <xdr:rowOff>82074</xdr:rowOff>
    </xdr:to>
    <xdr:sp macro="" textlink="">
      <xdr:nvSpPr>
        <xdr:cNvPr id="13" name="TextBox 6">
          <a:extLst>
            <a:ext uri="{FF2B5EF4-FFF2-40B4-BE49-F238E27FC236}">
              <a16:creationId xmlns:a16="http://schemas.microsoft.com/office/drawing/2014/main" id="{00000000-0008-0000-1700-00000D000000}"/>
            </a:ext>
          </a:extLst>
        </xdr:cNvPr>
        <xdr:cNvSpPr txBox="1"/>
      </xdr:nvSpPr>
      <xdr:spPr>
        <a:xfrm>
          <a:off x="7380495" y="527454"/>
          <a:ext cx="2523369" cy="28290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oneCellAnchor>
    <xdr:from>
      <xdr:col>2</xdr:col>
      <xdr:colOff>63637</xdr:colOff>
      <xdr:row>0</xdr:row>
      <xdr:rowOff>0</xdr:rowOff>
    </xdr:from>
    <xdr:ext cx="4013599" cy="530658"/>
    <xdr:sp macro="" textlink="">
      <xdr:nvSpPr>
        <xdr:cNvPr id="14" name="TextBox 13">
          <a:extLst>
            <a:ext uri="{FF2B5EF4-FFF2-40B4-BE49-F238E27FC236}">
              <a16:creationId xmlns:a16="http://schemas.microsoft.com/office/drawing/2014/main" id="{00000000-0008-0000-1700-00000E000000}"/>
            </a:ext>
          </a:extLst>
        </xdr:cNvPr>
        <xdr:cNvSpPr txBox="1"/>
      </xdr:nvSpPr>
      <xdr:spPr>
        <a:xfrm>
          <a:off x="1358363" y="0"/>
          <a:ext cx="4013599"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2800" b="1"/>
            <a:t>EASING OF RESTRICTIONS</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3</xdr:col>
      <xdr:colOff>91391</xdr:colOff>
      <xdr:row>28</xdr:row>
      <xdr:rowOff>124951</xdr:rowOff>
    </xdr:from>
    <xdr:to>
      <xdr:col>7</xdr:col>
      <xdr:colOff>761603</xdr:colOff>
      <xdr:row>43</xdr:row>
      <xdr:rowOff>76400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8</xdr:col>
      <xdr:colOff>603226</xdr:colOff>
      <xdr:row>26</xdr:row>
      <xdr:rowOff>73563</xdr:rowOff>
    </xdr:from>
    <xdr:to>
      <xdr:col>17</xdr:col>
      <xdr:colOff>691924</xdr:colOff>
      <xdr:row>50</xdr:row>
      <xdr:rowOff>89325</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305839</xdr:colOff>
      <xdr:row>0</xdr:row>
      <xdr:rowOff>180231</xdr:rowOff>
    </xdr:from>
    <xdr:to>
      <xdr:col>24</xdr:col>
      <xdr:colOff>146795</xdr:colOff>
      <xdr:row>16</xdr:row>
      <xdr:rowOff>65285</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315404</xdr:colOff>
      <xdr:row>17</xdr:row>
      <xdr:rowOff>34023</xdr:rowOff>
    </xdr:from>
    <xdr:to>
      <xdr:col>27</xdr:col>
      <xdr:colOff>426671</xdr:colOff>
      <xdr:row>39</xdr:row>
      <xdr:rowOff>101152</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1083576</xdr:colOff>
      <xdr:row>36</xdr:row>
      <xdr:rowOff>123854</xdr:rowOff>
    </xdr:from>
    <xdr:to>
      <xdr:col>14</xdr:col>
      <xdr:colOff>809204</xdr:colOff>
      <xdr:row>46</xdr:row>
      <xdr:rowOff>183911</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313567</xdr:colOff>
      <xdr:row>0</xdr:row>
      <xdr:rowOff>161842</xdr:rowOff>
    </xdr:from>
    <xdr:to>
      <xdr:col>15</xdr:col>
      <xdr:colOff>202300</xdr:colOff>
      <xdr:row>14</xdr:row>
      <xdr:rowOff>60689</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262991</xdr:colOff>
      <xdr:row>21</xdr:row>
      <xdr:rowOff>30344</xdr:rowOff>
    </xdr:from>
    <xdr:to>
      <xdr:col>15</xdr:col>
      <xdr:colOff>232646</xdr:colOff>
      <xdr:row>44</xdr:row>
      <xdr:rowOff>12138</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609600</xdr:colOff>
          <xdr:row>3</xdr:row>
          <xdr:rowOff>142875</xdr:rowOff>
        </xdr:from>
        <xdr:to>
          <xdr:col>5</xdr:col>
          <xdr:colOff>923925</xdr:colOff>
          <xdr:row>7</xdr:row>
          <xdr:rowOff>57150</xdr:rowOff>
        </xdr:to>
        <xdr:sp macro="" textlink="">
          <xdr:nvSpPr>
            <xdr:cNvPr id="8198" name="Group Box 6" descr="First Product"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xdr:row>
          <xdr:rowOff>171450</xdr:rowOff>
        </xdr:from>
        <xdr:to>
          <xdr:col>5</xdr:col>
          <xdr:colOff>895350</xdr:colOff>
          <xdr:row>5</xdr:row>
          <xdr:rowOff>9525</xdr:rowOff>
        </xdr:to>
        <xdr:sp macro="" textlink="">
          <xdr:nvSpPr>
            <xdr:cNvPr id="8200" name="Option Button 8" hidden="1">
              <a:extLst>
                <a:ext uri="{63B3BB69-23CF-44E3-9099-C40C66FF867C}">
                  <a14:compatExt spid="_x0000_s8200"/>
                </a:ext>
                <a:ext uri="{FF2B5EF4-FFF2-40B4-BE49-F238E27FC236}">
                  <a16:creationId xmlns:a16="http://schemas.microsoft.com/office/drawing/2014/main" id="{00000000-0008-0000-02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Burgers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xdr:row>
          <xdr:rowOff>171450</xdr:rowOff>
        </xdr:from>
        <xdr:to>
          <xdr:col>5</xdr:col>
          <xdr:colOff>895350</xdr:colOff>
          <xdr:row>6</xdr:row>
          <xdr:rowOff>19050</xdr:rowOff>
        </xdr:to>
        <xdr:sp macro="" textlink="">
          <xdr:nvSpPr>
            <xdr:cNvPr id="8203" name="Option Button 11" hidden="1">
              <a:extLst>
                <a:ext uri="{63B3BB69-23CF-44E3-9099-C40C66FF867C}">
                  <a14:compatExt spid="_x0000_s8203"/>
                </a:ext>
                <a:ext uri="{FF2B5EF4-FFF2-40B4-BE49-F238E27FC236}">
                  <a16:creationId xmlns:a16="http://schemas.microsoft.com/office/drawing/2014/main" id="{00000000-0008-0000-02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Kebabs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171450</xdr:rowOff>
        </xdr:from>
        <xdr:to>
          <xdr:col>5</xdr:col>
          <xdr:colOff>895350</xdr:colOff>
          <xdr:row>7</xdr:row>
          <xdr:rowOff>19050</xdr:rowOff>
        </xdr:to>
        <xdr:sp macro="" textlink="">
          <xdr:nvSpPr>
            <xdr:cNvPr id="8204" name="Option Button 12" hidden="1">
              <a:extLst>
                <a:ext uri="{63B3BB69-23CF-44E3-9099-C40C66FF867C}">
                  <a14:compatExt spid="_x0000_s8204"/>
                </a:ext>
                <a:ext uri="{FF2B5EF4-FFF2-40B4-BE49-F238E27FC236}">
                  <a16:creationId xmlns:a16="http://schemas.microsoft.com/office/drawing/2014/main" id="{00000000-0008-0000-02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Pizza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600075</xdr:colOff>
          <xdr:row>7</xdr:row>
          <xdr:rowOff>152400</xdr:rowOff>
        </xdr:from>
        <xdr:to>
          <xdr:col>14</xdr:col>
          <xdr:colOff>238125</xdr:colOff>
          <xdr:row>16</xdr:row>
          <xdr:rowOff>123825</xdr:rowOff>
        </xdr:to>
        <xdr:sp macro="" textlink="">
          <xdr:nvSpPr>
            <xdr:cNvPr id="8207" name="Group Box 15" hidden="1">
              <a:extLst>
                <a:ext uri="{63B3BB69-23CF-44E3-9099-C40C66FF867C}">
                  <a14:compatExt spid="_x0000_s8207"/>
                </a:ext>
                <a:ext uri="{FF2B5EF4-FFF2-40B4-BE49-F238E27FC236}">
                  <a16:creationId xmlns:a16="http://schemas.microsoft.com/office/drawing/2014/main" id="{00000000-0008-0000-0200-00000F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xdr:row>
          <xdr:rowOff>171450</xdr:rowOff>
        </xdr:from>
        <xdr:to>
          <xdr:col>5</xdr:col>
          <xdr:colOff>1552575</xdr:colOff>
          <xdr:row>9</xdr:row>
          <xdr:rowOff>28575</xdr:rowOff>
        </xdr:to>
        <xdr:sp macro="" textlink="">
          <xdr:nvSpPr>
            <xdr:cNvPr id="8212" name="Option Button 20" hidden="1">
              <a:extLst>
                <a:ext uri="{63B3BB69-23CF-44E3-9099-C40C66FF867C}">
                  <a14:compatExt spid="_x0000_s8212"/>
                </a:ext>
                <a:ext uri="{FF2B5EF4-FFF2-40B4-BE49-F238E27FC236}">
                  <a16:creationId xmlns:a16="http://schemas.microsoft.com/office/drawing/2014/main" id="{00000000-0008-0000-02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Start a new Sole Trader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xdr:row>
          <xdr:rowOff>171450</xdr:rowOff>
        </xdr:from>
        <xdr:to>
          <xdr:col>5</xdr:col>
          <xdr:colOff>1847850</xdr:colOff>
          <xdr:row>12</xdr:row>
          <xdr:rowOff>28575</xdr:rowOff>
        </xdr:to>
        <xdr:sp macro="" textlink="">
          <xdr:nvSpPr>
            <xdr:cNvPr id="8214" name="Option Button 22" hidden="1">
              <a:extLst>
                <a:ext uri="{63B3BB69-23CF-44E3-9099-C40C66FF867C}">
                  <a14:compatExt spid="_x0000_s8214"/>
                </a:ext>
                <a:ext uri="{FF2B5EF4-FFF2-40B4-BE49-F238E27FC236}">
                  <a16:creationId xmlns:a16="http://schemas.microsoft.com/office/drawing/2014/main" id="{00000000-0008-0000-02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Buy an existing company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xdr:row>
          <xdr:rowOff>161925</xdr:rowOff>
        </xdr:from>
        <xdr:to>
          <xdr:col>5</xdr:col>
          <xdr:colOff>1962150</xdr:colOff>
          <xdr:row>15</xdr:row>
          <xdr:rowOff>28575</xdr:rowOff>
        </xdr:to>
        <xdr:sp macro="" textlink="">
          <xdr:nvSpPr>
            <xdr:cNvPr id="8217" name="Option Button 25" hidden="1">
              <a:extLst>
                <a:ext uri="{63B3BB69-23CF-44E3-9099-C40C66FF867C}">
                  <a14:compatExt spid="_x0000_s8217"/>
                </a:ext>
                <a:ext uri="{FF2B5EF4-FFF2-40B4-BE49-F238E27FC236}">
                  <a16:creationId xmlns:a16="http://schemas.microsoft.com/office/drawing/2014/main" id="{00000000-0008-0000-02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Go with an existing fast food franchise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18</xdr:row>
          <xdr:rowOff>133350</xdr:rowOff>
        </xdr:from>
        <xdr:to>
          <xdr:col>14</xdr:col>
          <xdr:colOff>238125</xdr:colOff>
          <xdr:row>27</xdr:row>
          <xdr:rowOff>123825</xdr:rowOff>
        </xdr:to>
        <xdr:sp macro="" textlink="">
          <xdr:nvSpPr>
            <xdr:cNvPr id="8218" name="Group Box 26" hidden="1">
              <a:extLst>
                <a:ext uri="{63B3BB69-23CF-44E3-9099-C40C66FF867C}">
                  <a14:compatExt spid="_x0000_s8218"/>
                </a:ext>
                <a:ext uri="{FF2B5EF4-FFF2-40B4-BE49-F238E27FC236}">
                  <a16:creationId xmlns:a16="http://schemas.microsoft.com/office/drawing/2014/main" id="{00000000-0008-0000-0200-00001A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18</xdr:row>
          <xdr:rowOff>161925</xdr:rowOff>
        </xdr:from>
        <xdr:to>
          <xdr:col>5</xdr:col>
          <xdr:colOff>962025</xdr:colOff>
          <xdr:row>20</xdr:row>
          <xdr:rowOff>19050</xdr:rowOff>
        </xdr:to>
        <xdr:sp macro="" textlink="">
          <xdr:nvSpPr>
            <xdr:cNvPr id="8219" name="Option Button 27" hidden="1">
              <a:extLst>
                <a:ext uri="{63B3BB69-23CF-44E3-9099-C40C66FF867C}">
                  <a14:compatExt spid="_x0000_s8219"/>
                </a:ext>
                <a:ext uri="{FF2B5EF4-FFF2-40B4-BE49-F238E27FC236}">
                  <a16:creationId xmlns:a16="http://schemas.microsoft.com/office/drawing/2014/main" id="{00000000-0008-0000-02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City CBD Area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161925</xdr:rowOff>
        </xdr:from>
        <xdr:to>
          <xdr:col>5</xdr:col>
          <xdr:colOff>1962150</xdr:colOff>
          <xdr:row>23</xdr:row>
          <xdr:rowOff>9525</xdr:rowOff>
        </xdr:to>
        <xdr:sp macro="" textlink="">
          <xdr:nvSpPr>
            <xdr:cNvPr id="8220" name="Option Button 28" hidden="1">
              <a:extLst>
                <a:ext uri="{63B3BB69-23CF-44E3-9099-C40C66FF867C}">
                  <a14:compatExt spid="_x0000_s8220"/>
                </a:ext>
                <a:ext uri="{FF2B5EF4-FFF2-40B4-BE49-F238E27FC236}">
                  <a16:creationId xmlns:a16="http://schemas.microsoft.com/office/drawing/2014/main" id="{00000000-0008-0000-02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Foodcourt in a large shopping centre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24</xdr:row>
          <xdr:rowOff>161925</xdr:rowOff>
        </xdr:from>
        <xdr:to>
          <xdr:col>5</xdr:col>
          <xdr:colOff>1962150</xdr:colOff>
          <xdr:row>26</xdr:row>
          <xdr:rowOff>9525</xdr:rowOff>
        </xdr:to>
        <xdr:sp macro="" textlink="">
          <xdr:nvSpPr>
            <xdr:cNvPr id="8221" name="Option Button 29" hidden="1">
              <a:extLst>
                <a:ext uri="{63B3BB69-23CF-44E3-9099-C40C66FF867C}">
                  <a14:compatExt spid="_x0000_s8221"/>
                </a:ext>
                <a:ext uri="{FF2B5EF4-FFF2-40B4-BE49-F238E27FC236}">
                  <a16:creationId xmlns:a16="http://schemas.microsoft.com/office/drawing/2014/main" id="{00000000-0008-0000-02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Suburban retail area</a:t>
              </a:r>
            </a:p>
          </xdr:txBody>
        </xdr:sp>
        <xdr:clientData/>
      </xdr:twoCellAnchor>
    </mc:Choice>
    <mc:Fallback/>
  </mc:AlternateContent>
  <xdr:twoCellAnchor editAs="oneCell">
    <xdr:from>
      <xdr:col>0</xdr:col>
      <xdr:colOff>191266</xdr:colOff>
      <xdr:row>20</xdr:row>
      <xdr:rowOff>102988</xdr:rowOff>
    </xdr:from>
    <xdr:to>
      <xdr:col>4</xdr:col>
      <xdr:colOff>245472</xdr:colOff>
      <xdr:row>26</xdr:row>
      <xdr:rowOff>117701</xdr:rowOff>
    </xdr:to>
    <xdr:pic>
      <xdr:nvPicPr>
        <xdr:cNvPr id="17" name="Picture 16" descr="Vector horizontal illustration with cafe. cartoon cozy interior with tables and chairs. bright furni Free Vector">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266" y="3692909"/>
          <a:ext cx="3684192" cy="1118172"/>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22069</xdr:colOff>
      <xdr:row>0</xdr:row>
      <xdr:rowOff>117702</xdr:rowOff>
    </xdr:from>
    <xdr:to>
      <xdr:col>9</xdr:col>
      <xdr:colOff>438310</xdr:colOff>
      <xdr:row>0</xdr:row>
      <xdr:rowOff>555703</xdr:rowOff>
    </xdr:to>
    <xdr:pic>
      <xdr:nvPicPr>
        <xdr:cNvPr id="21" name="Picture 20" descr="C:\Users\mwyeoh\Dropbox\..VisualFrontier Projects\Images\Curtin\CurtinHeader.png">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069" y="117702"/>
          <a:ext cx="9144736" cy="434191"/>
        </a:xfrm>
        <a:prstGeom prst="rect">
          <a:avLst/>
        </a:prstGeom>
        <a:noFill/>
        <a:ln>
          <a:noFill/>
        </a:ln>
      </xdr:spPr>
    </xdr:pic>
    <xdr:clientData/>
  </xdr:twoCellAnchor>
  <xdr:oneCellAnchor>
    <xdr:from>
      <xdr:col>3</xdr:col>
      <xdr:colOff>27347</xdr:colOff>
      <xdr:row>0</xdr:row>
      <xdr:rowOff>29426</xdr:rowOff>
    </xdr:from>
    <xdr:ext cx="2666371" cy="530658"/>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1969435" y="29426"/>
          <a:ext cx="266637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BUSINESS SETUP</a:t>
          </a:r>
        </a:p>
      </xdr:txBody>
    </xdr:sp>
    <xdr:clientData/>
  </xdr:oneCellAnchor>
  <xdr:twoCellAnchor editAs="oneCell">
    <xdr:from>
      <xdr:col>6</xdr:col>
      <xdr:colOff>205981</xdr:colOff>
      <xdr:row>0</xdr:row>
      <xdr:rowOff>603226</xdr:rowOff>
    </xdr:from>
    <xdr:to>
      <xdr:col>9</xdr:col>
      <xdr:colOff>438082</xdr:colOff>
      <xdr:row>1</xdr:row>
      <xdr:rowOff>40544</xdr:rowOff>
    </xdr:to>
    <xdr:pic>
      <xdr:nvPicPr>
        <xdr:cNvPr id="20" name="Picture 19" descr="C:\Users\mwyeoh\Dropbox\..VisualFrontier Projects\Images\Curtin\curtinbusiness.png">
          <a:extLst>
            <a:ext uri="{FF2B5EF4-FFF2-40B4-BE49-F238E27FC236}">
              <a16:creationId xmlns:a16="http://schemas.microsoft.com/office/drawing/2014/main" id="{00000000-0008-0000-02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8578" y="603226"/>
          <a:ext cx="2177999" cy="217096"/>
        </a:xfrm>
        <a:prstGeom prst="rect">
          <a:avLst/>
        </a:prstGeom>
        <a:noFill/>
        <a:ln>
          <a:noFill/>
        </a:ln>
      </xdr:spPr>
    </xdr:pic>
    <xdr:clientData/>
  </xdr:twoCellAnchor>
  <xdr:twoCellAnchor>
    <xdr:from>
      <xdr:col>6</xdr:col>
      <xdr:colOff>286438</xdr:colOff>
      <xdr:row>0</xdr:row>
      <xdr:rowOff>566443</xdr:rowOff>
    </xdr:from>
    <xdr:to>
      <xdr:col>9</xdr:col>
      <xdr:colOff>533080</xdr:colOff>
      <xdr:row>1</xdr:row>
      <xdr:rowOff>66870</xdr:rowOff>
    </xdr:to>
    <xdr:sp macro="" textlink="">
      <xdr:nvSpPr>
        <xdr:cNvPr id="25" name="TextBox 6">
          <a:extLst>
            <a:ext uri="{FF2B5EF4-FFF2-40B4-BE49-F238E27FC236}">
              <a16:creationId xmlns:a16="http://schemas.microsoft.com/office/drawing/2014/main" id="{00000000-0008-0000-0200-000019000000}"/>
            </a:ext>
          </a:extLst>
        </xdr:cNvPr>
        <xdr:cNvSpPr txBox="1"/>
      </xdr:nvSpPr>
      <xdr:spPr>
        <a:xfrm>
          <a:off x="6487213" y="566443"/>
          <a:ext cx="2018292" cy="27195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twoCellAnchor editAs="oneCell">
    <xdr:from>
      <xdr:col>2</xdr:col>
      <xdr:colOff>59276</xdr:colOff>
      <xdr:row>9</xdr:row>
      <xdr:rowOff>37879</xdr:rowOff>
    </xdr:from>
    <xdr:to>
      <xdr:col>4</xdr:col>
      <xdr:colOff>50326</xdr:colOff>
      <xdr:row>18</xdr:row>
      <xdr:rowOff>113713</xdr:rowOff>
    </xdr:to>
    <xdr:pic>
      <xdr:nvPicPr>
        <xdr:cNvPr id="26" name="Picture 25" descr="Vector cartoon illustration of a traditional set of fast food meal Free Vector">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75545" y="2382494"/>
          <a:ext cx="2194549" cy="172439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182070</xdr:colOff>
      <xdr:row>0</xdr:row>
      <xdr:rowOff>101150</xdr:rowOff>
    </xdr:from>
    <xdr:to>
      <xdr:col>14</xdr:col>
      <xdr:colOff>455177</xdr:colOff>
      <xdr:row>13</xdr:row>
      <xdr:rowOff>48552</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182071</xdr:colOff>
      <xdr:row>24</xdr:row>
      <xdr:rowOff>30345</xdr:rowOff>
    </xdr:from>
    <xdr:to>
      <xdr:col>14</xdr:col>
      <xdr:colOff>425218</xdr:colOff>
      <xdr:row>43</xdr:row>
      <xdr:rowOff>161840</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137564</xdr:colOff>
      <xdr:row>4</xdr:row>
      <xdr:rowOff>23120</xdr:rowOff>
    </xdr:from>
    <xdr:to>
      <xdr:col>17</xdr:col>
      <xdr:colOff>585106</xdr:colOff>
      <xdr:row>4</xdr:row>
      <xdr:rowOff>578002</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10057171" y="2935049"/>
              <a:ext cx="6720435" cy="554882"/>
            </a:xfrm>
            <a:prstGeom prst="rect">
              <a:avLst/>
            </a:prstGeom>
            <a:noFill/>
            <a:ln w="28575">
              <a:solidFill>
                <a:schemeClr val="accent3">
                  <a:lumMod val="60000"/>
                  <a:lumOff val="40000"/>
                </a:schemeClr>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𝑁𝑒𝑡</m:t>
                    </m:r>
                    <m:r>
                      <a:rPr lang="en-AU" sz="1400" b="0" i="1">
                        <a:latin typeface="Cambria Math"/>
                      </a:rPr>
                      <m:t> </m:t>
                    </m:r>
                    <m:r>
                      <a:rPr lang="en-AU" sz="1400" b="0" i="1">
                        <a:latin typeface="Cambria Math"/>
                      </a:rPr>
                      <m:t>𝑃𝑟𝑜𝑓𝑖𝑡</m:t>
                    </m:r>
                    <m:r>
                      <a:rPr lang="en-AU" sz="1400" b="0" i="1">
                        <a:latin typeface="Cambria Math"/>
                      </a:rPr>
                      <m:t> </m:t>
                    </m:r>
                    <m:r>
                      <a:rPr lang="en-AU" sz="1400" b="0" i="1">
                        <a:latin typeface="Cambria Math"/>
                      </a:rPr>
                      <m:t>𝑀𝑎𝑟𝑔𝑖𝑛</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MY" sz="1400" b="0" i="1">
                            <a:latin typeface="Cambria Math" panose="02040503050406030204" pitchFamily="18" charset="0"/>
                          </a:rPr>
                          <m:t>𝑁𝑒𝑡</m:t>
                        </m:r>
                        <m:r>
                          <a:rPr lang="en-MY" sz="1400" b="0" i="1">
                            <a:latin typeface="Cambria Math" panose="02040503050406030204" pitchFamily="18" charset="0"/>
                          </a:rPr>
                          <m:t> </m:t>
                        </m:r>
                        <m:r>
                          <a:rPr lang="en-MY" sz="1400" b="0" i="1">
                            <a:latin typeface="Cambria Math" panose="02040503050406030204" pitchFamily="18" charset="0"/>
                          </a:rPr>
                          <m:t>𝑆𝑎𝑙𝑒𝑠</m:t>
                        </m:r>
                      </m:den>
                    </m:f>
                  </m:oMath>
                </m:oMathPara>
              </a14:m>
              <a:endParaRPr lang="en-AU" sz="1400"/>
            </a:p>
          </xdr:txBody>
        </xdr:sp>
      </mc:Choice>
      <mc:Fallback xmlns="">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10057171" y="2935049"/>
              <a:ext cx="6720435" cy="554882"/>
            </a:xfrm>
            <a:prstGeom prst="rect">
              <a:avLst/>
            </a:prstGeom>
            <a:noFill/>
            <a:ln w="28575">
              <a:solidFill>
                <a:schemeClr val="accent3">
                  <a:lumMod val="60000"/>
                  <a:lumOff val="40000"/>
                </a:schemeClr>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𝑁𝑒𝑡 𝑃𝑟𝑜𝑓𝑖𝑡 𝑀𝑎𝑟𝑔𝑖𝑛 𝑅𝑎𝑡𝑖𝑜=  </a:t>
              </a:r>
              <a:r>
                <a:rPr lang="en-AU" sz="1400" b="0" i="0">
                  <a:latin typeface="Cambria Math" panose="02040503050406030204" pitchFamily="18" charset="0"/>
                </a:rPr>
                <a:t>(</a:t>
              </a:r>
              <a:r>
                <a:rPr lang="en-AU" sz="1400" b="0" i="0">
                  <a:latin typeface="Cambria Math"/>
                </a:rPr>
                <a:t>𝑁𝑒𝑡 𝑃𝑟𝑜𝑓𝑖𝑡</a:t>
              </a:r>
              <a:r>
                <a:rPr lang="en-AU" sz="1400" b="0" i="0">
                  <a:latin typeface="Cambria Math" panose="02040503050406030204" pitchFamily="18" charset="0"/>
                </a:rPr>
                <a:t>)/(</a:t>
              </a:r>
              <a:r>
                <a:rPr lang="en-MY" sz="1400" b="0" i="0">
                  <a:latin typeface="Cambria Math" panose="02040503050406030204" pitchFamily="18" charset="0"/>
                </a:rPr>
                <a:t>𝑁𝑒𝑡 𝑆𝑎𝑙𝑒𝑠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121381</xdr:colOff>
      <xdr:row>8</xdr:row>
      <xdr:rowOff>48551</xdr:rowOff>
    </xdr:from>
    <xdr:to>
      <xdr:col>17</xdr:col>
      <xdr:colOff>571500</xdr:colOff>
      <xdr:row>8</xdr:row>
      <xdr:rowOff>549970</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E00-000003000000}"/>
                </a:ext>
              </a:extLst>
            </xdr:cNvPr>
            <xdr:cNvSpPr txBox="1"/>
          </xdr:nvSpPr>
          <xdr:spPr>
            <a:xfrm>
              <a:off x="10040988" y="5627480"/>
              <a:ext cx="6723012"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𝑇𝑜𝑡𝑎𝑙</m:t>
                    </m:r>
                    <m:r>
                      <a:rPr lang="en-AU" sz="1400" b="0" i="1">
                        <a:latin typeface="Cambria Math"/>
                      </a:rPr>
                      <m:t> </m:t>
                    </m:r>
                    <m:r>
                      <a:rPr lang="en-AU" sz="1400" b="0" i="1">
                        <a:latin typeface="Cambria Math"/>
                      </a:rPr>
                      <m:t>𝐴𝑠𝑠𝑒𝑡</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𝑆𝑎𝑙𝑒𝑠</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3" name="TextBox 2">
              <a:extLst>
                <a:ext uri="{FF2B5EF4-FFF2-40B4-BE49-F238E27FC236}">
                  <a16:creationId xmlns:a16="http://schemas.microsoft.com/office/drawing/2014/main" id="{00000000-0008-0000-1E00-000003000000}"/>
                </a:ext>
              </a:extLst>
            </xdr:cNvPr>
            <xdr:cNvSpPr txBox="1"/>
          </xdr:nvSpPr>
          <xdr:spPr>
            <a:xfrm>
              <a:off x="10040988" y="5627480"/>
              <a:ext cx="6723012"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𝑇𝑜𝑡𝑎𝑙 𝐴𝑠𝑠𝑒𝑡 𝑇𝑢𝑟𝑛𝑜𝑣𝑒𝑟 𝑅𝑎𝑡𝑖𝑜=  </a:t>
              </a:r>
              <a:r>
                <a:rPr lang="en-AU" sz="1400" b="0" i="0">
                  <a:latin typeface="Cambria Math" panose="02040503050406030204" pitchFamily="18" charset="0"/>
                </a:rPr>
                <a:t>(</a:t>
              </a:r>
              <a:r>
                <a:rPr lang="en-AU" sz="1400" b="0" i="0">
                  <a:latin typeface="Cambria Math"/>
                </a:rPr>
                <a:t>𝑁𝑒𝑡 𝑆𝑎𝑙𝑒𝑠</a:t>
              </a:r>
              <a:r>
                <a:rPr lang="en-AU" sz="1400" b="0" i="0">
                  <a:latin typeface="Cambria Math" panose="02040503050406030204" pitchFamily="18" charset="0"/>
                </a:rPr>
                <a:t>)/(</a:t>
              </a:r>
              <a:r>
                <a:rPr lang="en-AU" sz="1400" b="0" i="0">
                  <a:latin typeface="Cambria Math"/>
                </a:rPr>
                <a:t>𝑇𝑜𝑡𝑎𝑙 𝐴𝑠𝑠𝑒𝑡𝑠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121379</xdr:colOff>
      <xdr:row>6</xdr:row>
      <xdr:rowOff>32368</xdr:rowOff>
    </xdr:from>
    <xdr:to>
      <xdr:col>18</xdr:col>
      <xdr:colOff>13606</xdr:colOff>
      <xdr:row>6</xdr:row>
      <xdr:rowOff>534300</xdr:rowOff>
    </xdr:to>
    <mc:AlternateContent xmlns:mc="http://schemas.openxmlformats.org/markup-compatibility/2006" xmlns:a14="http://schemas.microsoft.com/office/drawing/2010/main">
      <mc:Choice Requires="a14">
        <xdr:sp macro="" textlink="">
          <xdr:nvSpPr>
            <xdr:cNvPr id="4" name="TextBox 2">
              <a:extLst>
                <a:ext uri="{FF2B5EF4-FFF2-40B4-BE49-F238E27FC236}">
                  <a16:creationId xmlns:a16="http://schemas.microsoft.com/office/drawing/2014/main" id="{00000000-0008-0000-1E00-000004000000}"/>
                </a:ext>
              </a:extLst>
            </xdr:cNvPr>
            <xdr:cNvSpPr txBox="1"/>
          </xdr:nvSpPr>
          <xdr:spPr>
            <a:xfrm>
              <a:off x="10040986" y="4277797"/>
              <a:ext cx="6750227"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𝑅𝑒𝑡𝑢𝑟𝑛</m:t>
                    </m:r>
                    <m:r>
                      <a:rPr lang="en-AU" sz="1400" b="0" i="1">
                        <a:latin typeface="Cambria Math"/>
                      </a:rPr>
                      <m:t> </m:t>
                    </m:r>
                    <m:r>
                      <a:rPr lang="en-AU" sz="1400" b="0" i="1">
                        <a:latin typeface="Cambria Math"/>
                      </a:rPr>
                      <m:t>𝑜𝑛</m:t>
                    </m:r>
                    <m:r>
                      <a:rPr lang="en-AU" sz="1400" b="0" i="1">
                        <a:latin typeface="Cambria Math"/>
                      </a:rPr>
                      <m:t> </m:t>
                    </m:r>
                    <m:r>
                      <a:rPr lang="en-AU" sz="1400" b="0" i="1">
                        <a:latin typeface="Cambria Math"/>
                      </a:rPr>
                      <m:t>𝐴𝑠𝑠𝑒𝑡𝑠</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4" name="TextBox 2">
              <a:extLst>
                <a:ext uri="{FF2B5EF4-FFF2-40B4-BE49-F238E27FC236}">
                  <a16:creationId xmlns:a16="http://schemas.microsoft.com/office/drawing/2014/main" id="{00000000-0008-0000-1E00-000004000000}"/>
                </a:ext>
              </a:extLst>
            </xdr:cNvPr>
            <xdr:cNvSpPr txBox="1"/>
          </xdr:nvSpPr>
          <xdr:spPr>
            <a:xfrm>
              <a:off x="10040986" y="4277797"/>
              <a:ext cx="6750227"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𝑅𝑒𝑡𝑢𝑟𝑛 𝑜𝑛 𝐴𝑠𝑠𝑒𝑡𝑠 𝑅𝑎𝑡𝑖𝑜=  </a:t>
              </a:r>
              <a:r>
                <a:rPr lang="en-AU" sz="1400" b="0" i="0">
                  <a:latin typeface="Cambria Math" panose="02040503050406030204" pitchFamily="18" charset="0"/>
                </a:rPr>
                <a:t>(</a:t>
              </a:r>
              <a:r>
                <a:rPr lang="en-AU" sz="1400" b="0" i="0">
                  <a:latin typeface="Cambria Math"/>
                </a:rPr>
                <a:t>𝑁𝑒𝑡 𝑃𝑟𝑜𝑓𝑖𝑡</a:t>
              </a:r>
              <a:r>
                <a:rPr lang="en-AU" sz="1400" b="0" i="0">
                  <a:latin typeface="Cambria Math" panose="02040503050406030204" pitchFamily="18" charset="0"/>
                </a:rPr>
                <a:t>)/(</a:t>
              </a:r>
              <a:r>
                <a:rPr lang="en-AU" sz="1400" b="0" i="0">
                  <a:latin typeface="Cambria Math"/>
                </a:rPr>
                <a:t>𝑇𝑜𝑡𝑎𝑙 𝐴𝑠𝑠𝑒𝑡𝑠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129472</xdr:colOff>
      <xdr:row>5</xdr:row>
      <xdr:rowOff>24276</xdr:rowOff>
    </xdr:from>
    <xdr:to>
      <xdr:col>18</xdr:col>
      <xdr:colOff>0</xdr:colOff>
      <xdr:row>5</xdr:row>
      <xdr:rowOff>526208</xdr:rowOff>
    </xdr:to>
    <mc:AlternateContent xmlns:mc="http://schemas.openxmlformats.org/markup-compatibility/2006" xmlns:a14="http://schemas.microsoft.com/office/drawing/2010/main">
      <mc:Choice Requires="a14">
        <xdr:sp macro="" textlink="">
          <xdr:nvSpPr>
            <xdr:cNvPr id="5" name="TextBox 2">
              <a:extLst>
                <a:ext uri="{FF2B5EF4-FFF2-40B4-BE49-F238E27FC236}">
                  <a16:creationId xmlns:a16="http://schemas.microsoft.com/office/drawing/2014/main" id="{00000000-0008-0000-1E00-000005000000}"/>
                </a:ext>
              </a:extLst>
            </xdr:cNvPr>
            <xdr:cNvSpPr txBox="1"/>
          </xdr:nvSpPr>
          <xdr:spPr>
            <a:xfrm>
              <a:off x="10049079" y="3602955"/>
              <a:ext cx="6728528"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𝐺𝑟𝑜𝑠𝑠</m:t>
                    </m:r>
                    <m:r>
                      <a:rPr lang="en-AU" sz="1400" b="0" i="1">
                        <a:latin typeface="Cambria Math"/>
                      </a:rPr>
                      <m:t> </m:t>
                    </m:r>
                    <m:r>
                      <a:rPr lang="en-AU" sz="1400" b="0" i="1">
                        <a:latin typeface="Cambria Math"/>
                      </a:rPr>
                      <m:t>𝑃𝑟𝑜𝑓𝑖𝑡</m:t>
                    </m:r>
                    <m:r>
                      <a:rPr lang="en-AU" sz="1400" b="0" i="1">
                        <a:latin typeface="Cambria Math"/>
                      </a:rPr>
                      <m:t> </m:t>
                    </m:r>
                    <m:r>
                      <a:rPr lang="en-AU" sz="1400" b="0" i="1">
                        <a:latin typeface="Cambria Math"/>
                      </a:rPr>
                      <m:t>𝑀𝑎𝑟𝑔𝑖𝑛</m:t>
                    </m:r>
                    <m:r>
                      <a:rPr lang="en-AU" sz="1400" b="0" i="1">
                        <a:latin typeface="Cambria Math"/>
                      </a:rPr>
                      <m:t>= </m:t>
                    </m:r>
                    <m:f>
                      <m:fPr>
                        <m:ctrlPr>
                          <a:rPr lang="en-AU" sz="1400" b="0" i="1">
                            <a:latin typeface="Cambria Math" panose="02040503050406030204" pitchFamily="18" charset="0"/>
                          </a:rPr>
                        </m:ctrlPr>
                      </m:fPr>
                      <m:num>
                        <m:r>
                          <a:rPr lang="en-AU" sz="1400" i="1">
                            <a:latin typeface="Cambria Math"/>
                          </a:rPr>
                          <m:t>𝐺𝑟𝑜𝑠𝑠</m:t>
                        </m:r>
                        <m:r>
                          <a:rPr lang="en-AU" sz="1400" i="1">
                            <a:latin typeface="Cambria Math"/>
                          </a:rPr>
                          <m:t> </m:t>
                        </m:r>
                        <m:r>
                          <a:rPr lang="en-AU" sz="1400" i="1">
                            <a:latin typeface="Cambria Math"/>
                          </a:rPr>
                          <m:t>𝑃𝑟𝑜𝑓𝑖𝑡</m:t>
                        </m:r>
                      </m:num>
                      <m:den>
                        <m:r>
                          <a:rPr lang="en-AU" sz="1400" i="1">
                            <a:latin typeface="Cambria Math"/>
                          </a:rPr>
                          <m:t>𝑁𝑒𝑡</m:t>
                        </m:r>
                        <m:r>
                          <a:rPr lang="en-AU" sz="1400" i="1">
                            <a:latin typeface="Cambria Math"/>
                          </a:rPr>
                          <m:t> </m:t>
                        </m:r>
                        <m:r>
                          <a:rPr lang="en-AU" sz="1400" i="1">
                            <a:latin typeface="Cambria Math"/>
                          </a:rPr>
                          <m:t>𝑆𝑎𝑙𝑒𝑠</m:t>
                        </m:r>
                      </m:den>
                    </m:f>
                  </m:oMath>
                </m:oMathPara>
              </a14:m>
              <a:endParaRPr lang="en-AU" sz="1400"/>
            </a:p>
          </xdr:txBody>
        </xdr:sp>
      </mc:Choice>
      <mc:Fallback xmlns="">
        <xdr:sp macro="" textlink="">
          <xdr:nvSpPr>
            <xdr:cNvPr id="5" name="TextBox 2">
              <a:extLst>
                <a:ext uri="{FF2B5EF4-FFF2-40B4-BE49-F238E27FC236}">
                  <a16:creationId xmlns:a16="http://schemas.microsoft.com/office/drawing/2014/main" id="{00000000-0008-0000-1E00-000005000000}"/>
                </a:ext>
              </a:extLst>
            </xdr:cNvPr>
            <xdr:cNvSpPr txBox="1"/>
          </xdr:nvSpPr>
          <xdr:spPr>
            <a:xfrm>
              <a:off x="10049079" y="3602955"/>
              <a:ext cx="6728528"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𝐺𝑟𝑜𝑠𝑠 𝑃𝑟𝑜𝑓𝑖𝑡 𝑀𝑎𝑟𝑔𝑖𝑛= </a:t>
              </a:r>
              <a:r>
                <a:rPr lang="en-AU" sz="1400" i="0">
                  <a:latin typeface="Cambria Math"/>
                </a:rPr>
                <a:t> </a:t>
              </a:r>
              <a:r>
                <a:rPr lang="en-AU" sz="1400" b="0" i="0">
                  <a:latin typeface="Cambria Math" panose="02040503050406030204" pitchFamily="18" charset="0"/>
                </a:rPr>
                <a:t>(</a:t>
              </a:r>
              <a:r>
                <a:rPr lang="en-AU" sz="1400" i="0">
                  <a:latin typeface="Cambria Math"/>
                </a:rPr>
                <a:t>𝐺𝑟𝑜𝑠𝑠 𝑃𝑟𝑜𝑓𝑖𝑡</a:t>
              </a:r>
              <a:r>
                <a:rPr lang="en-AU" sz="1400" b="0" i="0">
                  <a:latin typeface="Cambria Math" panose="02040503050406030204" pitchFamily="18" charset="0"/>
                </a:rPr>
                <a:t>)/(</a:t>
              </a:r>
              <a:r>
                <a:rPr lang="en-AU" sz="1400" i="0">
                  <a:latin typeface="Cambria Math"/>
                </a:rPr>
                <a:t>𝑁𝑒𝑡 𝑆𝑎𝑙𝑒𝑠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129472</xdr:colOff>
      <xdr:row>10</xdr:row>
      <xdr:rowOff>40459</xdr:rowOff>
    </xdr:from>
    <xdr:to>
      <xdr:col>18</xdr:col>
      <xdr:colOff>27214</xdr:colOff>
      <xdr:row>10</xdr:row>
      <xdr:rowOff>537583</xdr:rowOff>
    </xdr:to>
    <mc:AlternateContent xmlns:mc="http://schemas.openxmlformats.org/markup-compatibility/2006" xmlns:a14="http://schemas.microsoft.com/office/drawing/2010/main">
      <mc:Choice Requires="a14">
        <xdr:sp macro="" textlink="">
          <xdr:nvSpPr>
            <xdr:cNvPr id="7" name="TextBox 5">
              <a:extLst>
                <a:ext uri="{FF2B5EF4-FFF2-40B4-BE49-F238E27FC236}">
                  <a16:creationId xmlns:a16="http://schemas.microsoft.com/office/drawing/2014/main" id="{00000000-0008-0000-1E00-000007000000}"/>
                </a:ext>
              </a:extLst>
            </xdr:cNvPr>
            <xdr:cNvSpPr txBox="1"/>
          </xdr:nvSpPr>
          <xdr:spPr>
            <a:xfrm>
              <a:off x="10049079" y="6952888"/>
              <a:ext cx="6755742" cy="49712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𝐶𝑢𝑟𝑟𝑒𝑛𝑡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𝐶𝑢𝑟𝑟𝑒𝑛𝑡</m:t>
                        </m:r>
                        <m:r>
                          <a:rPr lang="en-AU" sz="1400" b="0" i="1">
                            <a:latin typeface="Cambria Math"/>
                          </a:rPr>
                          <m:t> </m:t>
                        </m:r>
                        <m:r>
                          <a:rPr lang="en-AU" sz="1400" b="0" i="1">
                            <a:latin typeface="Cambria Math"/>
                          </a:rPr>
                          <m:t>𝐴𝑠𝑠𝑒𝑡𝑠</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7" name="TextBox 5">
              <a:extLst>
                <a:ext uri="{FF2B5EF4-FFF2-40B4-BE49-F238E27FC236}">
                  <a16:creationId xmlns:a16="http://schemas.microsoft.com/office/drawing/2014/main" id="{00000000-0008-0000-1E00-000007000000}"/>
                </a:ext>
              </a:extLst>
            </xdr:cNvPr>
            <xdr:cNvSpPr txBox="1"/>
          </xdr:nvSpPr>
          <xdr:spPr>
            <a:xfrm>
              <a:off x="10049079" y="6952888"/>
              <a:ext cx="6755742" cy="49712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𝐶𝑢𝑟𝑟𝑒𝑛𝑡 𝑅𝑎𝑡𝑖𝑜=  </a:t>
              </a:r>
              <a:r>
                <a:rPr lang="en-AU" sz="1400" b="0" i="0">
                  <a:latin typeface="Cambria Math" panose="02040503050406030204" pitchFamily="18" charset="0"/>
                </a:rPr>
                <a:t>(</a:t>
              </a:r>
              <a:r>
                <a:rPr lang="en-AU" sz="1400" b="0" i="0">
                  <a:latin typeface="Cambria Math"/>
                </a:rPr>
                <a:t>𝐶𝑢𝑟𝑟𝑒𝑛𝑡 𝐴𝑠𝑠𝑒𝑡𝑠</a:t>
              </a:r>
              <a:r>
                <a:rPr lang="en-AU" sz="1400" b="0" i="0">
                  <a:latin typeface="Cambria Math" panose="02040503050406030204" pitchFamily="18" charset="0"/>
                </a:rPr>
                <a:t>)/(</a:t>
              </a:r>
              <a:r>
                <a:rPr lang="en-AU" sz="1400" b="0" i="0">
                  <a:latin typeface="Cambria Math"/>
                </a:rPr>
                <a:t>𝐶𝑢𝑟𝑟𝑒𝑛𝑡 𝐿𝑖𝑎𝑏𝑖𝑙𝑖𝑡𝑖𝑒𝑠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137565</xdr:colOff>
      <xdr:row>15</xdr:row>
      <xdr:rowOff>0</xdr:rowOff>
    </xdr:from>
    <xdr:to>
      <xdr:col>17</xdr:col>
      <xdr:colOff>571500</xdr:colOff>
      <xdr:row>15</xdr:row>
      <xdr:rowOff>539635</xdr:rowOff>
    </xdr:to>
    <mc:AlternateContent xmlns:mc="http://schemas.openxmlformats.org/markup-compatibility/2006" xmlns:a14="http://schemas.microsoft.com/office/drawing/2010/main">
      <mc:Choice Requires="a14">
        <xdr:sp macro="" textlink="">
          <xdr:nvSpPr>
            <xdr:cNvPr id="9" name="TextBox 2">
              <a:extLst>
                <a:ext uri="{FF2B5EF4-FFF2-40B4-BE49-F238E27FC236}">
                  <a16:creationId xmlns:a16="http://schemas.microsoft.com/office/drawing/2014/main" id="{00000000-0008-0000-1E00-000009000000}"/>
                </a:ext>
              </a:extLst>
            </xdr:cNvPr>
            <xdr:cNvSpPr txBox="1"/>
          </xdr:nvSpPr>
          <xdr:spPr>
            <a:xfrm>
              <a:off x="10057172" y="11089821"/>
              <a:ext cx="6706828" cy="539635"/>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𝐼𝑛𝑣𝑒𝑛𝑡𝑜𝑟𝑦</m:t>
                    </m:r>
                    <m:r>
                      <a:rPr lang="en-AU" sz="1400" b="0" i="1">
                        <a:latin typeface="Cambria Math"/>
                      </a:rPr>
                      <m:t> </m:t>
                    </m:r>
                    <m:r>
                      <a:rPr lang="en-AU" sz="1400" b="0" i="1">
                        <a:latin typeface="Cambria Math"/>
                      </a:rPr>
                      <m:t>𝑇𝑢𝑟𝑛𝑜𝑣𝑒𝑟</m:t>
                    </m:r>
                    <m:r>
                      <a:rPr lang="en-AU" sz="1400" b="0" i="1">
                        <a:latin typeface="Cambria Math" panose="02040503050406030204" pitchFamily="18" charset="0"/>
                      </a:rPr>
                      <m:t> </m:t>
                    </m:r>
                    <m:d>
                      <m:dPr>
                        <m:ctrlPr>
                          <a:rPr lang="en-AU" sz="1400" b="0" i="1">
                            <a:latin typeface="Cambria Math" panose="02040503050406030204" pitchFamily="18" charset="0"/>
                          </a:rPr>
                        </m:ctrlPr>
                      </m:dPr>
                      <m:e>
                        <m:r>
                          <a:rPr lang="en-AU" sz="1400" b="0" i="1">
                            <a:latin typeface="Cambria Math" panose="02040503050406030204" pitchFamily="18" charset="0"/>
                          </a:rPr>
                          <m:t>𝐶𝑜𝑚𝑏𝑖𝑛𝑒𝑑</m:t>
                        </m:r>
                        <m:r>
                          <a:rPr lang="en-AU" sz="1400" b="0" i="1">
                            <a:latin typeface="Cambria Math" panose="02040503050406030204" pitchFamily="18" charset="0"/>
                          </a:rPr>
                          <m:t> </m:t>
                        </m:r>
                        <m:r>
                          <a:rPr lang="en-AU" sz="1400" b="0" i="1">
                            <a:latin typeface="Cambria Math" panose="02040503050406030204" pitchFamily="18" charset="0"/>
                          </a:rPr>
                          <m:t>𝑃𝑟𝑜𝑑𝑢𝑐𝑡𝑠</m:t>
                        </m:r>
                      </m:e>
                    </m:d>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𝐶𝑜𝑠𝑡</m:t>
                        </m:r>
                        <m:r>
                          <a:rPr lang="en-AU" sz="1400" b="0" i="1">
                            <a:latin typeface="Cambria Math"/>
                          </a:rPr>
                          <m:t> </m:t>
                        </m:r>
                        <m:r>
                          <a:rPr lang="en-AU" sz="1400" b="0" i="1">
                            <a:latin typeface="Cambria Math"/>
                          </a:rPr>
                          <m:t>𝑜𝑓</m:t>
                        </m:r>
                        <m:r>
                          <a:rPr lang="en-AU" sz="1400" b="0" i="1">
                            <a:latin typeface="Cambria Math"/>
                          </a:rPr>
                          <m:t> </m:t>
                        </m:r>
                        <m:r>
                          <a:rPr lang="en-AU" sz="1400" b="0" i="1">
                            <a:latin typeface="Cambria Math"/>
                          </a:rPr>
                          <m:t>𝑆𝑎𝑙𝑒𝑠</m:t>
                        </m:r>
                      </m:num>
                      <m:den>
                        <m:r>
                          <a:rPr lang="en-AU" sz="1400" b="0" i="1">
                            <a:latin typeface="Cambria Math"/>
                          </a:rPr>
                          <m:t>𝐴𝑣𝑒𝑟𝑎𝑔𝑒</m:t>
                        </m:r>
                        <m:r>
                          <a:rPr lang="en-AU" sz="1400" b="0" i="1">
                            <a:latin typeface="Cambria Math"/>
                          </a:rPr>
                          <m:t> </m:t>
                        </m:r>
                        <m:r>
                          <a:rPr lang="en-AU" sz="1400" b="0" i="1">
                            <a:latin typeface="Cambria Math"/>
                          </a:rPr>
                          <m:t>𝐼𝑛𝑣𝑒𝑛𝑡𝑜𝑟𝑦</m:t>
                        </m:r>
                        <m:r>
                          <a:rPr lang="en-AU" sz="1400" b="0" i="1">
                            <a:latin typeface="Cambria Math"/>
                          </a:rPr>
                          <m:t> </m:t>
                        </m:r>
                        <m:r>
                          <a:rPr lang="en-AU" sz="1400" b="0" i="1">
                            <a:latin typeface="Cambria Math"/>
                          </a:rPr>
                          <m:t>𝐵𝑎𝑙𝑎𝑛𝑐𝑒</m:t>
                        </m:r>
                      </m:den>
                    </m:f>
                  </m:oMath>
                </m:oMathPara>
              </a14:m>
              <a:endParaRPr lang="en-AU" sz="1400"/>
            </a:p>
          </xdr:txBody>
        </xdr:sp>
      </mc:Choice>
      <mc:Fallback xmlns="">
        <xdr:sp macro="" textlink="">
          <xdr:nvSpPr>
            <xdr:cNvPr id="9" name="TextBox 2">
              <a:extLst>
                <a:ext uri="{FF2B5EF4-FFF2-40B4-BE49-F238E27FC236}">
                  <a16:creationId xmlns:a16="http://schemas.microsoft.com/office/drawing/2014/main" id="{00000000-0008-0000-1E00-000009000000}"/>
                </a:ext>
              </a:extLst>
            </xdr:cNvPr>
            <xdr:cNvSpPr txBox="1"/>
          </xdr:nvSpPr>
          <xdr:spPr>
            <a:xfrm>
              <a:off x="10057172" y="11089821"/>
              <a:ext cx="6706828" cy="539635"/>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𝐼𝑛𝑣𝑒𝑛𝑡𝑜𝑟𝑦 𝑇𝑢𝑟𝑛𝑜𝑣𝑒𝑟</a:t>
              </a:r>
              <a:r>
                <a:rPr lang="en-AU" sz="1400" b="0" i="0">
                  <a:latin typeface="Cambria Math" panose="02040503050406030204" pitchFamily="18" charset="0"/>
                </a:rPr>
                <a:t> (𝐶𝑜𝑚𝑏𝑖𝑛𝑒𝑑 𝑃𝑟𝑜𝑑𝑢𝑐𝑡𝑠)</a:t>
              </a:r>
              <a:r>
                <a:rPr lang="en-AU" sz="1400" b="0" i="0">
                  <a:latin typeface="Cambria Math"/>
                </a:rPr>
                <a:t>  𝑅𝑎𝑡𝑖𝑜=  </a:t>
              </a:r>
              <a:r>
                <a:rPr lang="en-AU" sz="1400" b="0" i="0">
                  <a:latin typeface="Cambria Math" panose="02040503050406030204" pitchFamily="18" charset="0"/>
                </a:rPr>
                <a:t>(</a:t>
              </a:r>
              <a:r>
                <a:rPr lang="en-AU" sz="1400" b="0" i="0">
                  <a:latin typeface="Cambria Math"/>
                </a:rPr>
                <a:t>𝐶𝑜𝑠𝑡 𝑜𝑓 𝑆𝑎𝑙𝑒𝑠</a:t>
              </a:r>
              <a:r>
                <a:rPr lang="en-AU" sz="1400" b="0" i="0">
                  <a:latin typeface="Cambria Math" panose="02040503050406030204" pitchFamily="18" charset="0"/>
                </a:rPr>
                <a:t>)/(</a:t>
              </a:r>
              <a:r>
                <a:rPr lang="en-AU" sz="1400" b="0" i="0">
                  <a:latin typeface="Cambria Math"/>
                </a:rPr>
                <a:t>𝐴𝑣𝑒𝑟𝑎𝑔𝑒 𝐼𝑛𝑣𝑒𝑛𝑡𝑜𝑟𝑦 𝐵𝑎𝑙𝑎𝑛𝑐𝑒</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153749</xdr:colOff>
      <xdr:row>13</xdr:row>
      <xdr:rowOff>24276</xdr:rowOff>
    </xdr:from>
    <xdr:to>
      <xdr:col>17</xdr:col>
      <xdr:colOff>571500</xdr:colOff>
      <xdr:row>13</xdr:row>
      <xdr:rowOff>739844</xdr:rowOff>
    </xdr:to>
    <mc:AlternateContent xmlns:mc="http://schemas.openxmlformats.org/markup-compatibility/2006" xmlns:a14="http://schemas.microsoft.com/office/drawing/2010/main">
      <mc:Choice Requires="a14">
        <xdr:sp macro="" textlink="">
          <xdr:nvSpPr>
            <xdr:cNvPr id="10" name="TextBox 2">
              <a:extLst>
                <a:ext uri="{FF2B5EF4-FFF2-40B4-BE49-F238E27FC236}">
                  <a16:creationId xmlns:a16="http://schemas.microsoft.com/office/drawing/2014/main" id="{00000000-0008-0000-1E00-00000A000000}"/>
                </a:ext>
              </a:extLst>
            </xdr:cNvPr>
            <xdr:cNvSpPr txBox="1"/>
          </xdr:nvSpPr>
          <xdr:spPr>
            <a:xfrm>
              <a:off x="10073356" y="9181883"/>
              <a:ext cx="6690644" cy="715568"/>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𝑄𝑢𝑖𝑐𝑘</m:t>
                    </m:r>
                    <m:r>
                      <a:rPr lang="en-AU" sz="1400" b="0" i="1">
                        <a:latin typeface="Cambria Math"/>
                      </a:rPr>
                      <m:t> </m:t>
                    </m:r>
                    <m:r>
                      <a:rPr lang="en-AU" sz="1400" b="0" i="1">
                        <a:latin typeface="Cambria Math"/>
                      </a:rPr>
                      <m:t>𝑅𝑎𝑡𝑖𝑜</m:t>
                    </m:r>
                    <m:r>
                      <a:rPr lang="en-AU" sz="1400" b="0" i="1">
                        <a:latin typeface="Cambria Math"/>
                      </a:rPr>
                      <m:t> </m:t>
                    </m:r>
                    <m:r>
                      <a:rPr lang="en-AU" sz="1400" b="0" i="1">
                        <a:latin typeface="Cambria Math"/>
                      </a:rPr>
                      <m:t>𝑂𝑅</m:t>
                    </m:r>
                    <m:r>
                      <a:rPr lang="en-AU" sz="1400" b="0" i="1">
                        <a:latin typeface="Cambria Math"/>
                      </a:rPr>
                      <m:t> </m:t>
                    </m:r>
                    <m:r>
                      <a:rPr lang="en-AU" sz="1400" b="0" i="1">
                        <a:latin typeface="Cambria Math"/>
                      </a:rPr>
                      <m:t>𝐴𝑐𝑖𝑑</m:t>
                    </m:r>
                    <m:r>
                      <a:rPr lang="en-AU" sz="1400" b="0" i="1">
                        <a:latin typeface="Cambria Math"/>
                      </a:rPr>
                      <m:t> </m:t>
                    </m:r>
                    <m:r>
                      <a:rPr lang="en-AU" sz="1400" b="0" i="1">
                        <a:latin typeface="Cambria Math"/>
                      </a:rPr>
                      <m:t>𝑇𝑒𝑠𝑡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𝐶𝑎𝑠h</m:t>
                        </m:r>
                        <m:r>
                          <a:rPr lang="en-AU" sz="1400" b="0" i="1">
                            <a:latin typeface="Cambria Math"/>
                          </a:rPr>
                          <m:t>+</m:t>
                        </m:r>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10" name="TextBox 2">
              <a:extLst>
                <a:ext uri="{FF2B5EF4-FFF2-40B4-BE49-F238E27FC236}">
                  <a16:creationId xmlns:a16="http://schemas.microsoft.com/office/drawing/2014/main" id="{00000000-0008-0000-1E00-00000A000000}"/>
                </a:ext>
              </a:extLst>
            </xdr:cNvPr>
            <xdr:cNvSpPr txBox="1"/>
          </xdr:nvSpPr>
          <xdr:spPr>
            <a:xfrm>
              <a:off x="10073356" y="9181883"/>
              <a:ext cx="6690644" cy="715568"/>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𝑄𝑢𝑖𝑐𝑘 𝑅𝑎𝑡𝑖𝑜 𝑂𝑅 𝐴𝑐𝑖𝑑 𝑇𝑒𝑠𝑡 𝑅𝑎𝑡𝑖𝑜=  </a:t>
              </a:r>
              <a:r>
                <a:rPr lang="en-AU" sz="1400" b="0" i="0">
                  <a:latin typeface="Cambria Math" panose="02040503050406030204" pitchFamily="18" charset="0"/>
                </a:rPr>
                <a:t>(</a:t>
              </a:r>
              <a:r>
                <a:rPr lang="en-AU" sz="1400" b="0" i="0">
                  <a:latin typeface="Cambria Math"/>
                </a:rPr>
                <a:t>𝐶𝑎𝑠ℎ+𝐴𝑐𝑐𝑜𝑢𝑛𝑡𝑠 𝑅𝑒𝑐𝑒𝑖𝑣𝑎𝑏𝑙𝑒</a:t>
              </a:r>
              <a:r>
                <a:rPr lang="en-AU" sz="1400" b="0" i="0">
                  <a:latin typeface="Cambria Math" panose="02040503050406030204" pitchFamily="18" charset="0"/>
                </a:rPr>
                <a:t>)/(</a:t>
              </a:r>
              <a:r>
                <a:rPr lang="en-AU" sz="1400" b="0" i="0">
                  <a:latin typeface="Cambria Math"/>
                </a:rPr>
                <a:t>𝐶𝑢𝑟𝑟𝑒𝑛𝑡 𝐿𝑖𝑎𝑏𝑖𝑙𝑖𝑡𝑖𝑒𝑠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169933</xdr:colOff>
      <xdr:row>12</xdr:row>
      <xdr:rowOff>16184</xdr:rowOff>
    </xdr:from>
    <xdr:to>
      <xdr:col>18</xdr:col>
      <xdr:colOff>13607</xdr:colOff>
      <xdr:row>12</xdr:row>
      <xdr:rowOff>774524</xdr:rowOff>
    </xdr:to>
    <mc:AlternateContent xmlns:mc="http://schemas.openxmlformats.org/markup-compatibility/2006" xmlns:a14="http://schemas.microsoft.com/office/drawing/2010/main">
      <mc:Choice Requires="a14">
        <xdr:sp macro="" textlink="">
          <xdr:nvSpPr>
            <xdr:cNvPr id="11" name="TextBox 2">
              <a:extLst>
                <a:ext uri="{FF2B5EF4-FFF2-40B4-BE49-F238E27FC236}">
                  <a16:creationId xmlns:a16="http://schemas.microsoft.com/office/drawing/2014/main" id="{00000000-0008-0000-1E00-00000B000000}"/>
                </a:ext>
              </a:extLst>
            </xdr:cNvPr>
            <xdr:cNvSpPr txBox="1"/>
          </xdr:nvSpPr>
          <xdr:spPr>
            <a:xfrm>
              <a:off x="10089540" y="8275720"/>
              <a:ext cx="6701674" cy="758340"/>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𝐶𝑎𝑠h</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𝐶𝑎𝑠h</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11" name="TextBox 2">
              <a:extLst>
                <a:ext uri="{FF2B5EF4-FFF2-40B4-BE49-F238E27FC236}">
                  <a16:creationId xmlns:a16="http://schemas.microsoft.com/office/drawing/2014/main" id="{00000000-0008-0000-1E00-00000B000000}"/>
                </a:ext>
              </a:extLst>
            </xdr:cNvPr>
            <xdr:cNvSpPr txBox="1"/>
          </xdr:nvSpPr>
          <xdr:spPr>
            <a:xfrm>
              <a:off x="10089540" y="8275720"/>
              <a:ext cx="6701674" cy="758340"/>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𝐶𝑎𝑠ℎ 𝑅𝑎𝑡𝑖𝑜=  𝐶𝑎𝑠ℎ</a:t>
              </a:r>
              <a:r>
                <a:rPr lang="en-AU" sz="1400" b="0" i="0">
                  <a:latin typeface="Cambria Math" panose="02040503050406030204" pitchFamily="18" charset="0"/>
                </a:rPr>
                <a:t>/(</a:t>
              </a:r>
              <a:r>
                <a:rPr lang="en-AU" sz="1400" b="0" i="0">
                  <a:latin typeface="Cambria Math"/>
                </a:rPr>
                <a:t>𝐶𝑢𝑟𝑟𝑒𝑛𝑡 𝐿𝑖𝑎𝑏𝑖𝑙𝑖𝑡𝑖𝑒𝑠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178024</xdr:colOff>
      <xdr:row>17</xdr:row>
      <xdr:rowOff>24276</xdr:rowOff>
    </xdr:from>
    <xdr:to>
      <xdr:col>17</xdr:col>
      <xdr:colOff>585106</xdr:colOff>
      <xdr:row>17</xdr:row>
      <xdr:rowOff>525695</xdr:rowOff>
    </xdr:to>
    <mc:AlternateContent xmlns:mc="http://schemas.openxmlformats.org/markup-compatibility/2006" xmlns:a14="http://schemas.microsoft.com/office/drawing/2010/main">
      <mc:Choice Requires="a14">
        <xdr:sp macro="" textlink="">
          <xdr:nvSpPr>
            <xdr:cNvPr id="12" name="TextBox 5">
              <a:extLst>
                <a:ext uri="{FF2B5EF4-FFF2-40B4-BE49-F238E27FC236}">
                  <a16:creationId xmlns:a16="http://schemas.microsoft.com/office/drawing/2014/main" id="{00000000-0008-0000-1E00-00000C000000}"/>
                </a:ext>
              </a:extLst>
            </xdr:cNvPr>
            <xdr:cNvSpPr txBox="1"/>
          </xdr:nvSpPr>
          <xdr:spPr>
            <a:xfrm>
              <a:off x="10097631" y="12447597"/>
              <a:ext cx="6679975"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𝐷𝑒𝑏𝑡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𝐿𝑖𝑎𝑏𝑖𝑙𝑖𝑡𝑖𝑒𝑠</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12" name="TextBox 5">
              <a:extLst>
                <a:ext uri="{FF2B5EF4-FFF2-40B4-BE49-F238E27FC236}">
                  <a16:creationId xmlns:a16="http://schemas.microsoft.com/office/drawing/2014/main" id="{00000000-0008-0000-1E00-00000C000000}"/>
                </a:ext>
              </a:extLst>
            </xdr:cNvPr>
            <xdr:cNvSpPr txBox="1"/>
          </xdr:nvSpPr>
          <xdr:spPr>
            <a:xfrm>
              <a:off x="10097631" y="12447597"/>
              <a:ext cx="6679975"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𝐷𝑒𝑏𝑡 𝑅𝑎𝑡𝑖𝑜=  </a:t>
              </a:r>
              <a:r>
                <a:rPr lang="en-AU" sz="1400" b="0" i="0">
                  <a:latin typeface="Cambria Math" panose="02040503050406030204" pitchFamily="18" charset="0"/>
                </a:rPr>
                <a:t>(</a:t>
              </a:r>
              <a:r>
                <a:rPr lang="en-AU" sz="1400" b="0" i="0">
                  <a:latin typeface="Cambria Math"/>
                </a:rPr>
                <a:t>𝑇𝑜𝑡𝑎𝑙 𝐿𝑖𝑎𝑏𝑖𝑙𝑖𝑡𝑖𝑒𝑠</a:t>
              </a:r>
              <a:r>
                <a:rPr lang="en-AU" sz="1400" b="0" i="0">
                  <a:latin typeface="Cambria Math" panose="02040503050406030204" pitchFamily="18" charset="0"/>
                </a:rPr>
                <a:t>)/(</a:t>
              </a:r>
              <a:r>
                <a:rPr lang="en-AU" sz="1400" b="0" i="0">
                  <a:latin typeface="Cambria Math"/>
                </a:rPr>
                <a:t>𝑇𝑜𝑡𝑎𝑙 𝐴𝑠𝑠𝑒𝑡𝑠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178024</xdr:colOff>
      <xdr:row>18</xdr:row>
      <xdr:rowOff>8092</xdr:rowOff>
    </xdr:from>
    <xdr:to>
      <xdr:col>18</xdr:col>
      <xdr:colOff>27213</xdr:colOff>
      <xdr:row>18</xdr:row>
      <xdr:rowOff>546253</xdr:rowOff>
    </xdr:to>
    <mc:AlternateContent xmlns:mc="http://schemas.openxmlformats.org/markup-compatibility/2006" xmlns:a14="http://schemas.microsoft.com/office/drawing/2010/main">
      <mc:Choice Requires="a14">
        <xdr:sp macro="" textlink="">
          <xdr:nvSpPr>
            <xdr:cNvPr id="13" name="TextBox 6">
              <a:extLst>
                <a:ext uri="{FF2B5EF4-FFF2-40B4-BE49-F238E27FC236}">
                  <a16:creationId xmlns:a16="http://schemas.microsoft.com/office/drawing/2014/main" id="{00000000-0008-0000-1E00-00000D000000}"/>
                </a:ext>
              </a:extLst>
            </xdr:cNvPr>
            <xdr:cNvSpPr txBox="1"/>
          </xdr:nvSpPr>
          <xdr:spPr>
            <a:xfrm>
              <a:off x="10097631" y="13098163"/>
              <a:ext cx="6707189"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𝐷𝑒𝑏𝑡</m:t>
                    </m:r>
                    <m:r>
                      <a:rPr lang="en-AU" sz="1400" b="0" i="1">
                        <a:latin typeface="Cambria Math"/>
                      </a:rPr>
                      <m:t> </m:t>
                    </m:r>
                    <m:r>
                      <a:rPr lang="en-AU" sz="1400" b="0" i="1">
                        <a:latin typeface="Cambria Math"/>
                      </a:rPr>
                      <m:t>𝑡𝑜</m:t>
                    </m:r>
                    <m:r>
                      <a:rPr lang="en-AU" sz="1400" b="0" i="1">
                        <a:latin typeface="Cambria Math"/>
                      </a:rPr>
                      <m:t> </m:t>
                    </m:r>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𝐿𝑖𝑎𝑏𝑖𝑙𝑖𝑡𝑖𝑒𝑠</m:t>
                        </m:r>
                      </m:num>
                      <m:den>
                        <m:r>
                          <a:rPr lang="en-AU" sz="1400" b="0" i="1">
                            <a:latin typeface="Cambria Math"/>
                          </a:rPr>
                          <m:t>𝑇𝑜𝑡𝑎𝑙</m:t>
                        </m:r>
                        <m:r>
                          <a:rPr lang="en-AU" sz="1400" b="0" i="1">
                            <a:latin typeface="Cambria Math"/>
                          </a:rPr>
                          <m:t> </m:t>
                        </m:r>
                        <m:r>
                          <a:rPr lang="en-AU" sz="1400" b="0" i="1">
                            <a:latin typeface="Cambria Math"/>
                          </a:rPr>
                          <m:t>𝐸𝑞𝑢𝑖𝑡𝑦</m:t>
                        </m:r>
                      </m:den>
                    </m:f>
                  </m:oMath>
                </m:oMathPara>
              </a14:m>
              <a:endParaRPr lang="en-AU" sz="1400"/>
            </a:p>
          </xdr:txBody>
        </xdr:sp>
      </mc:Choice>
      <mc:Fallback xmlns="">
        <xdr:sp macro="" textlink="">
          <xdr:nvSpPr>
            <xdr:cNvPr id="13" name="TextBox 6">
              <a:extLst>
                <a:ext uri="{FF2B5EF4-FFF2-40B4-BE49-F238E27FC236}">
                  <a16:creationId xmlns:a16="http://schemas.microsoft.com/office/drawing/2014/main" id="{00000000-0008-0000-1E00-00000D000000}"/>
                </a:ext>
              </a:extLst>
            </xdr:cNvPr>
            <xdr:cNvSpPr txBox="1"/>
          </xdr:nvSpPr>
          <xdr:spPr>
            <a:xfrm>
              <a:off x="10097631" y="13098163"/>
              <a:ext cx="6707189"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𝐷𝑒𝑏𝑡 𝑡𝑜 𝐸𝑞𝑢𝑖𝑡𝑦 𝑅𝑎𝑡𝑖𝑜=  </a:t>
              </a:r>
              <a:r>
                <a:rPr lang="en-AU" sz="1400" b="0" i="0">
                  <a:latin typeface="Cambria Math" panose="02040503050406030204" pitchFamily="18" charset="0"/>
                </a:rPr>
                <a:t>(</a:t>
              </a:r>
              <a:r>
                <a:rPr lang="en-AU" sz="1400" b="0" i="0">
                  <a:latin typeface="Cambria Math"/>
                </a:rPr>
                <a:t>𝑇𝑜𝑡𝑎𝑙 𝐿𝑖𝑎𝑏𝑖𝑙𝑖𝑡𝑖𝑒𝑠</a:t>
              </a:r>
              <a:r>
                <a:rPr lang="en-AU" sz="1400" b="0" i="0">
                  <a:latin typeface="Cambria Math" panose="02040503050406030204" pitchFamily="18" charset="0"/>
                </a:rPr>
                <a:t>)/(</a:t>
              </a:r>
              <a:r>
                <a:rPr lang="en-AU" sz="1400" b="0" i="0">
                  <a:latin typeface="Cambria Math"/>
                </a:rPr>
                <a:t>𝑇𝑜𝑡𝑎𝑙 𝐸𝑞𝑢𝑖𝑡𝑦</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178024</xdr:colOff>
      <xdr:row>19</xdr:row>
      <xdr:rowOff>32368</xdr:rowOff>
    </xdr:from>
    <xdr:to>
      <xdr:col>17</xdr:col>
      <xdr:colOff>585106</xdr:colOff>
      <xdr:row>19</xdr:row>
      <xdr:rowOff>533787</xdr:rowOff>
    </xdr:to>
    <mc:AlternateContent xmlns:mc="http://schemas.openxmlformats.org/markup-compatibility/2006" xmlns:a14="http://schemas.microsoft.com/office/drawing/2010/main">
      <mc:Choice Requires="a14">
        <xdr:sp macro="" textlink="">
          <xdr:nvSpPr>
            <xdr:cNvPr id="14" name="TextBox 6">
              <a:extLst>
                <a:ext uri="{FF2B5EF4-FFF2-40B4-BE49-F238E27FC236}">
                  <a16:creationId xmlns:a16="http://schemas.microsoft.com/office/drawing/2014/main" id="{00000000-0008-0000-1E00-00000E000000}"/>
                </a:ext>
              </a:extLst>
            </xdr:cNvPr>
            <xdr:cNvSpPr txBox="1"/>
          </xdr:nvSpPr>
          <xdr:spPr>
            <a:xfrm>
              <a:off x="10097631" y="13789189"/>
              <a:ext cx="6679975"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𝐸𝑞𝑢𝑖𝑡𝑦</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14" name="TextBox 6">
              <a:extLst>
                <a:ext uri="{FF2B5EF4-FFF2-40B4-BE49-F238E27FC236}">
                  <a16:creationId xmlns:a16="http://schemas.microsoft.com/office/drawing/2014/main" id="{00000000-0008-0000-1E00-00000E000000}"/>
                </a:ext>
              </a:extLst>
            </xdr:cNvPr>
            <xdr:cNvSpPr txBox="1"/>
          </xdr:nvSpPr>
          <xdr:spPr>
            <a:xfrm>
              <a:off x="10097631" y="13789189"/>
              <a:ext cx="6679975"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𝐸𝑞𝑢𝑖𝑡𝑦 𝑅𝑎𝑡𝑖𝑜=  </a:t>
              </a:r>
              <a:r>
                <a:rPr lang="en-AU" sz="1400" b="0" i="0">
                  <a:latin typeface="Cambria Math" panose="02040503050406030204" pitchFamily="18" charset="0"/>
                </a:rPr>
                <a:t>(</a:t>
              </a:r>
              <a:r>
                <a:rPr lang="en-AU" sz="1400" b="0" i="0">
                  <a:latin typeface="Cambria Math"/>
                </a:rPr>
                <a:t>𝑇𝑜𝑡𝑎𝑙 𝐸𝑞𝑢𝑖𝑡𝑦</a:t>
              </a:r>
              <a:r>
                <a:rPr lang="en-AU" sz="1400" b="0" i="0">
                  <a:latin typeface="Cambria Math" panose="02040503050406030204" pitchFamily="18" charset="0"/>
                </a:rPr>
                <a:t>)/(</a:t>
              </a:r>
              <a:r>
                <a:rPr lang="en-AU" sz="1400" b="0" i="0">
                  <a:latin typeface="Cambria Math"/>
                </a:rPr>
                <a:t>𝑇𝑜𝑡𝑎𝑙 𝐴𝑠𝑠𝑒𝑡𝑠</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186115</xdr:colOff>
      <xdr:row>20</xdr:row>
      <xdr:rowOff>43158</xdr:rowOff>
    </xdr:from>
    <xdr:to>
      <xdr:col>18</xdr:col>
      <xdr:colOff>27214</xdr:colOff>
      <xdr:row>20</xdr:row>
      <xdr:rowOff>575098</xdr:rowOff>
    </xdr:to>
    <mc:AlternateContent xmlns:mc="http://schemas.openxmlformats.org/markup-compatibility/2006" xmlns:a14="http://schemas.microsoft.com/office/drawing/2010/main">
      <mc:Choice Requires="a14">
        <xdr:sp macro="" textlink="">
          <xdr:nvSpPr>
            <xdr:cNvPr id="16" name="TextBox 2">
              <a:extLst>
                <a:ext uri="{FF2B5EF4-FFF2-40B4-BE49-F238E27FC236}">
                  <a16:creationId xmlns:a16="http://schemas.microsoft.com/office/drawing/2014/main" id="{00000000-0008-0000-1E00-000010000000}"/>
                </a:ext>
              </a:extLst>
            </xdr:cNvPr>
            <xdr:cNvSpPr txBox="1"/>
          </xdr:nvSpPr>
          <xdr:spPr>
            <a:xfrm>
              <a:off x="10105722" y="14466729"/>
              <a:ext cx="6699099" cy="531940"/>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panose="02040503050406030204" pitchFamily="18" charset="0"/>
                      </a:rPr>
                      <m:t>𝑇𝑖𝑚𝑒𝑠</m:t>
                    </m:r>
                    <m:r>
                      <a:rPr lang="en-AU" sz="1400" b="0" i="1">
                        <a:latin typeface="Cambria Math" panose="02040503050406030204" pitchFamily="18" charset="0"/>
                      </a:rPr>
                      <m:t> </m:t>
                    </m:r>
                    <m:r>
                      <a:rPr lang="en-AU" sz="1400" b="0" i="1">
                        <a:latin typeface="Cambria Math" panose="02040503050406030204" pitchFamily="18" charset="0"/>
                      </a:rPr>
                      <m:t>𝐼𝑛𝑡𝑒𝑟𝑒𝑠𝑡</m:t>
                    </m:r>
                    <m:r>
                      <a:rPr lang="en-AU" sz="1400" b="0" i="1">
                        <a:latin typeface="Cambria Math" panose="02040503050406030204" pitchFamily="18" charset="0"/>
                      </a:rPr>
                      <m:t> </m:t>
                    </m:r>
                    <m:r>
                      <a:rPr lang="en-AU" sz="1400" b="0" i="1">
                        <a:latin typeface="Cambria Math" panose="02040503050406030204" pitchFamily="18" charset="0"/>
                      </a:rPr>
                      <m:t>𝐸𝑎𝑟𝑛𝑒𝑑</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panose="02040503050406030204" pitchFamily="18" charset="0"/>
                          </a:rPr>
                          <m:t>𝐸𝐵𝐼𝑇</m:t>
                        </m:r>
                      </m:num>
                      <m:den>
                        <m:r>
                          <a:rPr lang="en-AU" sz="1400" b="0" i="1">
                            <a:latin typeface="Cambria Math" panose="02040503050406030204" pitchFamily="18" charset="0"/>
                          </a:rPr>
                          <m:t>𝐼𝑛𝑡𝑒𝑟𝑒𝑠𝑡</m:t>
                        </m:r>
                        <m:r>
                          <a:rPr lang="en-AU" sz="1400" b="0" i="1">
                            <a:latin typeface="Cambria Math" panose="02040503050406030204" pitchFamily="18" charset="0"/>
                          </a:rPr>
                          <m:t> </m:t>
                        </m:r>
                        <m:r>
                          <a:rPr lang="en-AU" sz="1400" b="0" i="1">
                            <a:latin typeface="Cambria Math" panose="02040503050406030204" pitchFamily="18" charset="0"/>
                          </a:rPr>
                          <m:t>𝐸𝑥𝑝𝑒𝑛𝑠𝑒</m:t>
                        </m:r>
                      </m:den>
                    </m:f>
                  </m:oMath>
                </m:oMathPara>
              </a14:m>
              <a:endParaRPr lang="en-AU" sz="1400"/>
            </a:p>
          </xdr:txBody>
        </xdr:sp>
      </mc:Choice>
      <mc:Fallback xmlns="">
        <xdr:sp macro="" textlink="">
          <xdr:nvSpPr>
            <xdr:cNvPr id="16" name="TextBox 2">
              <a:extLst>
                <a:ext uri="{FF2B5EF4-FFF2-40B4-BE49-F238E27FC236}">
                  <a16:creationId xmlns:a16="http://schemas.microsoft.com/office/drawing/2014/main" id="{00000000-0008-0000-1E00-000010000000}"/>
                </a:ext>
              </a:extLst>
            </xdr:cNvPr>
            <xdr:cNvSpPr txBox="1"/>
          </xdr:nvSpPr>
          <xdr:spPr>
            <a:xfrm>
              <a:off x="10105722" y="14466729"/>
              <a:ext cx="6699099" cy="531940"/>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panose="02040503050406030204" pitchFamily="18" charset="0"/>
                </a:rPr>
                <a:t>𝑇𝑖𝑚𝑒𝑠 𝐼𝑛𝑡𝑒𝑟𝑒𝑠𝑡 𝐸𝑎𝑟𝑛𝑒𝑑</a:t>
              </a:r>
              <a:r>
                <a:rPr lang="en-AU" sz="1400" b="0" i="0">
                  <a:latin typeface="Cambria Math"/>
                </a:rPr>
                <a:t>= </a:t>
              </a:r>
              <a:r>
                <a:rPr lang="en-AU" sz="1400" b="0" i="0">
                  <a:latin typeface="Cambria Math" panose="02040503050406030204" pitchFamily="18" charset="0"/>
                </a:rPr>
                <a:t> 𝐸𝐵𝐼𝑇/(𝐼𝑛𝑡𝑒𝑟𝑒𝑠𝑡 𝐸𝑥𝑝𝑒𝑛𝑠𝑒)</a:t>
              </a:r>
              <a:endParaRPr lang="en-AU" sz="1400"/>
            </a:p>
          </xdr:txBody>
        </xdr:sp>
      </mc:Fallback>
    </mc:AlternateContent>
    <xdr:clientData/>
  </xdr:twoCellAnchor>
  <xdr:twoCellAnchor>
    <xdr:from>
      <xdr:col>8</xdr:col>
      <xdr:colOff>125876</xdr:colOff>
      <xdr:row>7</xdr:row>
      <xdr:rowOff>8991</xdr:rowOff>
    </xdr:from>
    <xdr:to>
      <xdr:col>18</xdr:col>
      <xdr:colOff>13607</xdr:colOff>
      <xdr:row>7</xdr:row>
      <xdr:rowOff>547152</xdr:rowOff>
    </xdr:to>
    <mc:AlternateContent xmlns:mc="http://schemas.openxmlformats.org/markup-compatibility/2006" xmlns:a14="http://schemas.microsoft.com/office/drawing/2010/main">
      <mc:Choice Requires="a14">
        <xdr:sp macro="" textlink="">
          <xdr:nvSpPr>
            <xdr:cNvPr id="17" name="TextBox 2">
              <a:extLst>
                <a:ext uri="{FF2B5EF4-FFF2-40B4-BE49-F238E27FC236}">
                  <a16:creationId xmlns:a16="http://schemas.microsoft.com/office/drawing/2014/main" id="{00000000-0008-0000-1E00-000011000000}"/>
                </a:ext>
              </a:extLst>
            </xdr:cNvPr>
            <xdr:cNvSpPr txBox="1"/>
          </xdr:nvSpPr>
          <xdr:spPr>
            <a:xfrm>
              <a:off x="10045483" y="4921170"/>
              <a:ext cx="6745731"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𝑅𝑒𝑡𝑢𝑟𝑛</m:t>
                    </m:r>
                    <m:r>
                      <a:rPr lang="en-AU" sz="1400" b="0" i="1">
                        <a:latin typeface="Cambria Math"/>
                      </a:rPr>
                      <m:t> </m:t>
                    </m:r>
                    <m:r>
                      <a:rPr lang="en-AU" sz="1400" b="0" i="1">
                        <a:latin typeface="Cambria Math"/>
                      </a:rPr>
                      <m:t>𝑜𝑛</m:t>
                    </m:r>
                    <m:r>
                      <a:rPr lang="en-AU" sz="1400" b="0" i="1">
                        <a:latin typeface="Cambria Math"/>
                      </a:rPr>
                      <m:t> </m:t>
                    </m:r>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AU" sz="1400" b="0" i="1">
                            <a:latin typeface="Cambria Math"/>
                          </a:rPr>
                          <m:t>𝑇𝑜𝑡𝑎𝑙</m:t>
                        </m:r>
                        <m:r>
                          <a:rPr lang="en-AU" sz="1400" b="0" i="1">
                            <a:latin typeface="Cambria Math"/>
                          </a:rPr>
                          <m:t> </m:t>
                        </m:r>
                        <m:r>
                          <a:rPr lang="en-AU" sz="1400" b="0" i="1">
                            <a:latin typeface="Cambria Math"/>
                          </a:rPr>
                          <m:t>𝐸𝑞𝑢𝑖𝑡𝑦</m:t>
                        </m:r>
                      </m:den>
                    </m:f>
                  </m:oMath>
                </m:oMathPara>
              </a14:m>
              <a:endParaRPr lang="en-AU" sz="1400"/>
            </a:p>
          </xdr:txBody>
        </xdr:sp>
      </mc:Choice>
      <mc:Fallback xmlns="">
        <xdr:sp macro="" textlink="">
          <xdr:nvSpPr>
            <xdr:cNvPr id="17" name="TextBox 2">
              <a:extLst>
                <a:ext uri="{FF2B5EF4-FFF2-40B4-BE49-F238E27FC236}">
                  <a16:creationId xmlns:a16="http://schemas.microsoft.com/office/drawing/2014/main" id="{00000000-0008-0000-1E00-000011000000}"/>
                </a:ext>
              </a:extLst>
            </xdr:cNvPr>
            <xdr:cNvSpPr txBox="1"/>
          </xdr:nvSpPr>
          <xdr:spPr>
            <a:xfrm>
              <a:off x="10045483" y="4921170"/>
              <a:ext cx="6745731"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𝑅𝑒𝑡𝑢𝑟𝑛 𝑜𝑛 𝐸𝑞𝑢𝑖𝑡𝑦 𝑅𝑎𝑡𝑖𝑜=  </a:t>
              </a:r>
              <a:r>
                <a:rPr lang="en-AU" sz="1400" b="0" i="0">
                  <a:latin typeface="Cambria Math" panose="02040503050406030204" pitchFamily="18" charset="0"/>
                </a:rPr>
                <a:t>(</a:t>
              </a:r>
              <a:r>
                <a:rPr lang="en-AU" sz="1400" b="0" i="0">
                  <a:latin typeface="Cambria Math"/>
                </a:rPr>
                <a:t>𝑁𝑒𝑡 𝑃𝑟𝑜𝑓𝑖𝑡</a:t>
              </a:r>
              <a:r>
                <a:rPr lang="en-AU" sz="1400" b="0" i="0">
                  <a:latin typeface="Cambria Math" panose="02040503050406030204" pitchFamily="18" charset="0"/>
                </a:rPr>
                <a:t>)/(</a:t>
              </a:r>
              <a:r>
                <a:rPr lang="en-AU" sz="1400" b="0" i="0">
                  <a:latin typeface="Cambria Math"/>
                </a:rPr>
                <a:t>𝑇𝑜𝑡𝑎𝑙 𝐸𝑞𝑢𝑖𝑡𝑦</a:t>
              </a:r>
              <a:r>
                <a:rPr lang="en-AU" sz="1400" b="0" i="0">
                  <a:latin typeface="Cambria Math" panose="02040503050406030204" pitchFamily="18" charset="0"/>
                </a:rPr>
                <a:t>)</a:t>
              </a:r>
              <a:endParaRPr lang="en-AU" sz="1400"/>
            </a:p>
          </xdr:txBody>
        </xdr:sp>
      </mc:Fallback>
    </mc:AlternateContent>
    <xdr:clientData/>
  </xdr:twoCellAnchor>
  <xdr:twoCellAnchor>
    <xdr:from>
      <xdr:col>8</xdr:col>
      <xdr:colOff>150152</xdr:colOff>
      <xdr:row>11</xdr:row>
      <xdr:rowOff>8990</xdr:rowOff>
    </xdr:from>
    <xdr:to>
      <xdr:col>18</xdr:col>
      <xdr:colOff>0</xdr:colOff>
      <xdr:row>11</xdr:row>
      <xdr:rowOff>566441</xdr:rowOff>
    </xdr:to>
    <mc:AlternateContent xmlns:mc="http://schemas.openxmlformats.org/markup-compatibility/2006" xmlns:a14="http://schemas.microsoft.com/office/drawing/2010/main">
      <mc:Choice Requires="a14">
        <xdr:sp macro="" textlink="">
          <xdr:nvSpPr>
            <xdr:cNvPr id="18" name="TextBox 2">
              <a:extLst>
                <a:ext uri="{FF2B5EF4-FFF2-40B4-BE49-F238E27FC236}">
                  <a16:creationId xmlns:a16="http://schemas.microsoft.com/office/drawing/2014/main" id="{00000000-0008-0000-1E00-000012000000}"/>
                </a:ext>
              </a:extLst>
            </xdr:cNvPr>
            <xdr:cNvSpPr txBox="1"/>
          </xdr:nvSpPr>
          <xdr:spPr>
            <a:xfrm>
              <a:off x="10069759" y="7588169"/>
              <a:ext cx="6707848" cy="557451"/>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𝑊𝑜𝑟𝑘𝑖𝑛𝑔</m:t>
                    </m:r>
                    <m:r>
                      <a:rPr lang="en-AU" sz="1400" b="0" i="1">
                        <a:latin typeface="Cambria Math"/>
                      </a:rPr>
                      <m:t> </m:t>
                    </m:r>
                    <m:r>
                      <a:rPr lang="en-AU" sz="1400" b="0" i="1">
                        <a:latin typeface="Cambria Math"/>
                      </a:rPr>
                      <m:t>𝐶𝑎𝑝𝑖𝑡𝑎𝑙</m:t>
                    </m:r>
                    <m:r>
                      <a:rPr lang="en-AU" sz="1400" b="0" i="1">
                        <a:latin typeface="Cambria Math"/>
                      </a:rPr>
                      <m:t>=  </m:t>
                    </m:r>
                    <m:r>
                      <a:rPr lang="en-AU" sz="1400" b="0" i="1">
                        <a:latin typeface="Cambria Math"/>
                      </a:rPr>
                      <m:t>𝐶𝑢𝑟𝑟𝑒𝑛𝑡</m:t>
                    </m:r>
                    <m:r>
                      <a:rPr lang="en-AU" sz="1400" b="0" i="1">
                        <a:latin typeface="Cambria Math"/>
                      </a:rPr>
                      <m:t> </m:t>
                    </m:r>
                    <m:r>
                      <a:rPr lang="en-AU" sz="1400" b="0" i="1">
                        <a:latin typeface="Cambria Math"/>
                      </a:rPr>
                      <m:t>𝐴𝑠𝑠𝑒𝑡𝑠</m:t>
                    </m:r>
                    <m:r>
                      <a:rPr lang="en-AU" sz="1400" b="0" i="1">
                        <a:latin typeface="Cambria Math"/>
                      </a:rPr>
                      <m:t> −</m:t>
                    </m:r>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oMath>
                </m:oMathPara>
              </a14:m>
              <a:endParaRPr lang="en-AU" sz="1400"/>
            </a:p>
          </xdr:txBody>
        </xdr:sp>
      </mc:Choice>
      <mc:Fallback xmlns="">
        <xdr:sp macro="" textlink="">
          <xdr:nvSpPr>
            <xdr:cNvPr id="18" name="TextBox 2">
              <a:extLst>
                <a:ext uri="{FF2B5EF4-FFF2-40B4-BE49-F238E27FC236}">
                  <a16:creationId xmlns:a16="http://schemas.microsoft.com/office/drawing/2014/main" id="{00000000-0008-0000-1E00-000012000000}"/>
                </a:ext>
              </a:extLst>
            </xdr:cNvPr>
            <xdr:cNvSpPr txBox="1"/>
          </xdr:nvSpPr>
          <xdr:spPr>
            <a:xfrm>
              <a:off x="10069759" y="7588169"/>
              <a:ext cx="6707848" cy="557451"/>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𝑊𝑜𝑟𝑘𝑖𝑛𝑔 𝐶𝑎𝑝𝑖𝑡𝑎𝑙=  𝐶𝑢𝑟𝑟𝑒𝑛𝑡 𝐴𝑠𝑠𝑒𝑡𝑠 −𝐶𝑢𝑟𝑟𝑒𝑛𝑡 𝐿𝑖𝑎𝑏𝑖𝑙𝑖𝑡𝑖𝑒𝑠</a:t>
              </a:r>
              <a:endParaRPr lang="en-AU" sz="1400"/>
            </a:p>
          </xdr:txBody>
        </xdr:sp>
      </mc:Fallback>
    </mc:AlternateContent>
    <xdr:clientData/>
  </xdr:twoCellAnchor>
  <xdr:twoCellAnchor>
    <xdr:from>
      <xdr:col>8</xdr:col>
      <xdr:colOff>129471</xdr:colOff>
      <xdr:row>14</xdr:row>
      <xdr:rowOff>7193</xdr:rowOff>
    </xdr:from>
    <xdr:to>
      <xdr:col>17</xdr:col>
      <xdr:colOff>571499</xdr:colOff>
      <xdr:row>14</xdr:row>
      <xdr:rowOff>908107</xdr:rowOff>
    </xdr:to>
    <mc:AlternateContent xmlns:mc="http://schemas.openxmlformats.org/markup-compatibility/2006" xmlns:a14="http://schemas.microsoft.com/office/drawing/2010/main">
      <mc:Choice Requires="a14">
        <xdr:sp macro="" textlink="">
          <xdr:nvSpPr>
            <xdr:cNvPr id="19" name="TextBox 2">
              <a:extLst>
                <a:ext uri="{FF2B5EF4-FFF2-40B4-BE49-F238E27FC236}">
                  <a16:creationId xmlns:a16="http://schemas.microsoft.com/office/drawing/2014/main" id="{00000000-0008-0000-1E00-000013000000}"/>
                </a:ext>
              </a:extLst>
            </xdr:cNvPr>
            <xdr:cNvSpPr txBox="1"/>
          </xdr:nvSpPr>
          <xdr:spPr>
            <a:xfrm>
              <a:off x="10049078" y="10049264"/>
              <a:ext cx="6714921" cy="900914"/>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𝐶𝑟𝑒𝑑𝑖𝑡</m:t>
                        </m:r>
                        <m:r>
                          <a:rPr lang="en-AU" sz="1400" b="0" i="1">
                            <a:latin typeface="Cambria Math"/>
                          </a:rPr>
                          <m:t> </m:t>
                        </m:r>
                        <m:r>
                          <a:rPr lang="en-AU" sz="1400" b="0" i="1">
                            <a:latin typeface="Cambria Math"/>
                          </a:rPr>
                          <m:t>𝑆𝑎𝑙𝑒𝑠</m:t>
                        </m:r>
                      </m:num>
                      <m:den>
                        <m:r>
                          <a:rPr lang="en-AU" sz="1400" b="0" i="1">
                            <a:latin typeface="Cambria Math"/>
                          </a:rPr>
                          <m:t>𝐴𝑣𝑒𝑟𝑎𝑔𝑒</m:t>
                        </m:r>
                        <m:r>
                          <a:rPr lang="en-AU" sz="1400" b="0" i="1">
                            <a:latin typeface="Cambria Math"/>
                          </a:rPr>
                          <m:t> </m:t>
                        </m:r>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den>
                    </m:f>
                  </m:oMath>
                </m:oMathPara>
              </a14:m>
              <a:endParaRPr lang="en-AU" sz="1400"/>
            </a:p>
          </xdr:txBody>
        </xdr:sp>
      </mc:Choice>
      <mc:Fallback xmlns="">
        <xdr:sp macro="" textlink="">
          <xdr:nvSpPr>
            <xdr:cNvPr id="19" name="TextBox 2">
              <a:extLst>
                <a:ext uri="{FF2B5EF4-FFF2-40B4-BE49-F238E27FC236}">
                  <a16:creationId xmlns:a16="http://schemas.microsoft.com/office/drawing/2014/main" id="{00000000-0008-0000-1E00-000013000000}"/>
                </a:ext>
              </a:extLst>
            </xdr:cNvPr>
            <xdr:cNvSpPr txBox="1"/>
          </xdr:nvSpPr>
          <xdr:spPr>
            <a:xfrm>
              <a:off x="10049078" y="10049264"/>
              <a:ext cx="6714921" cy="900914"/>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𝐴𝑐𝑐𝑜𝑢𝑛𝑡𝑠 𝑅𝑒𝑐𝑒𝑖𝑣𝑎𝑏𝑙𝑒 𝑇𝑢𝑟𝑛𝑜𝑣𝑒𝑟 𝑅𝑎𝑡𝑖𝑜=  </a:t>
              </a:r>
              <a:r>
                <a:rPr lang="en-AU" sz="1400" b="0" i="0">
                  <a:latin typeface="Cambria Math" panose="02040503050406030204" pitchFamily="18" charset="0"/>
                </a:rPr>
                <a:t>(</a:t>
              </a:r>
              <a:r>
                <a:rPr lang="en-AU" sz="1400" b="0" i="0">
                  <a:latin typeface="Cambria Math"/>
                </a:rPr>
                <a:t>𝑁𝑒𝑡 𝐶𝑟𝑒𝑑𝑖𝑡 𝑆𝑎𝑙𝑒𝑠</a:t>
              </a:r>
              <a:r>
                <a:rPr lang="en-AU" sz="1400" b="0" i="0">
                  <a:latin typeface="Cambria Math" panose="02040503050406030204" pitchFamily="18" charset="0"/>
                </a:rPr>
                <a:t>)/(</a:t>
              </a:r>
              <a:r>
                <a:rPr lang="en-AU" sz="1400" b="0" i="0">
                  <a:latin typeface="Cambria Math"/>
                </a:rPr>
                <a:t>𝐴𝑣𝑒𝑟𝑎𝑔𝑒 𝐴𝑐𝑐𝑜𝑢𝑛𝑡𝑠 𝑅𝑒𝑐𝑒𝑖𝑣𝑎𝑏𝑙𝑒</a:t>
              </a:r>
              <a:r>
                <a:rPr lang="en-AU" sz="1400" b="0" i="0">
                  <a:latin typeface="Cambria Math" panose="02040503050406030204" pitchFamily="18" charset="0"/>
                </a:rPr>
                <a:t>)</a:t>
              </a:r>
              <a:endParaRPr lang="en-AU" sz="1400"/>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137565</xdr:colOff>
      <xdr:row>1</xdr:row>
      <xdr:rowOff>550258</xdr:rowOff>
    </xdr:from>
    <xdr:to>
      <xdr:col>16</xdr:col>
      <xdr:colOff>56644</xdr:colOff>
      <xdr:row>2</xdr:row>
      <xdr:rowOff>509798</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9953204" y="2565175"/>
              <a:ext cx="6562640" cy="631179"/>
            </a:xfrm>
            <a:prstGeom prst="rect">
              <a:avLst/>
            </a:prstGeom>
            <a:noFill/>
            <a:ln w="28575">
              <a:solidFill>
                <a:schemeClr val="accent3">
                  <a:lumMod val="60000"/>
                  <a:lumOff val="40000"/>
                </a:schemeClr>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𝑁𝑒𝑡</m:t>
                    </m:r>
                    <m:r>
                      <a:rPr lang="en-AU" sz="1400" b="0" i="1">
                        <a:latin typeface="Cambria Math"/>
                      </a:rPr>
                      <m:t> </m:t>
                    </m:r>
                    <m:r>
                      <a:rPr lang="en-AU" sz="1400" b="0" i="1">
                        <a:latin typeface="Cambria Math"/>
                      </a:rPr>
                      <m:t>𝑃𝑟𝑜𝑓𝑖𝑡</m:t>
                    </m:r>
                    <m:r>
                      <a:rPr lang="en-AU" sz="1400" b="0" i="1">
                        <a:latin typeface="Cambria Math"/>
                      </a:rPr>
                      <m:t> </m:t>
                    </m:r>
                    <m:r>
                      <a:rPr lang="en-AU" sz="1400" b="0" i="1">
                        <a:latin typeface="Cambria Math"/>
                      </a:rPr>
                      <m:t>𝑀𝑎𝑟𝑔𝑖𝑛</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MY" sz="1400" b="0" i="1">
                            <a:latin typeface="Cambria Math" panose="02040503050406030204" pitchFamily="18" charset="0"/>
                          </a:rPr>
                          <m:t>𝑁𝑒𝑡</m:t>
                        </m:r>
                        <m:r>
                          <a:rPr lang="en-MY" sz="1400" b="0" i="1">
                            <a:latin typeface="Cambria Math" panose="02040503050406030204" pitchFamily="18" charset="0"/>
                          </a:rPr>
                          <m:t> </m:t>
                        </m:r>
                        <m:r>
                          <a:rPr lang="en-MY" sz="1400" b="0" i="1">
                            <a:latin typeface="Cambria Math" panose="02040503050406030204" pitchFamily="18" charset="0"/>
                          </a:rPr>
                          <m:t>𝑆𝑎𝑙𝑒𝑠</m:t>
                        </m:r>
                      </m:den>
                    </m:f>
                  </m:oMath>
                </m:oMathPara>
              </a14:m>
              <a:endParaRPr lang="en-AU" sz="1400"/>
            </a:p>
          </xdr:txBody>
        </xdr:sp>
      </mc:Choice>
      <mc:Fallback xmlns="">
        <xdr:sp macro="" textlink="">
          <xdr:nvSpPr>
            <xdr:cNvPr id="2" name="TextBox 1">
              <a:extLst>
                <a:ext uri="{FF2B5EF4-FFF2-40B4-BE49-F238E27FC236}">
                  <a16:creationId xmlns:a16="http://schemas.microsoft.com/office/drawing/2014/main" xmlns="" xmlns:a14="http://schemas.microsoft.com/office/drawing/2010/main" id="{00000000-0008-0000-1900-000002000000}"/>
                </a:ext>
              </a:extLst>
            </xdr:cNvPr>
            <xdr:cNvSpPr txBox="1"/>
          </xdr:nvSpPr>
          <xdr:spPr>
            <a:xfrm>
              <a:off x="9953204" y="2565175"/>
              <a:ext cx="6562640" cy="631179"/>
            </a:xfrm>
            <a:prstGeom prst="rect">
              <a:avLst/>
            </a:prstGeom>
            <a:noFill/>
            <a:ln w="28575">
              <a:solidFill>
                <a:schemeClr val="accent3">
                  <a:lumMod val="60000"/>
                  <a:lumOff val="40000"/>
                </a:schemeClr>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𝑁𝑒𝑡 𝑃𝑟𝑜𝑓𝑖𝑡 𝑀𝑎𝑟𝑔𝑖𝑛 𝑅𝑎𝑡𝑖𝑜=  (𝑁𝑒𝑡 𝑃𝑟𝑜𝑓𝑖𝑡)/(</a:t>
              </a:r>
              <a:r>
                <a:rPr lang="en-MY" sz="1400" b="0" i="0">
                  <a:latin typeface="Cambria Math" panose="02040503050406030204" pitchFamily="18" charset="0"/>
                </a:rPr>
                <a:t>𝑁𝑒𝑡 𝑆𝑎𝑙𝑒𝑠</a:t>
              </a:r>
              <a:r>
                <a:rPr lang="en-AU" sz="1400" b="0" i="0">
                  <a:latin typeface="Cambria Math"/>
                </a:rPr>
                <a:t>)</a:t>
              </a:r>
              <a:endParaRPr lang="en-AU" sz="1400"/>
            </a:p>
          </xdr:txBody>
        </xdr:sp>
      </mc:Fallback>
    </mc:AlternateContent>
    <xdr:clientData/>
  </xdr:twoCellAnchor>
  <xdr:twoCellAnchor>
    <xdr:from>
      <xdr:col>8</xdr:col>
      <xdr:colOff>121381</xdr:colOff>
      <xdr:row>6</xdr:row>
      <xdr:rowOff>48551</xdr:rowOff>
    </xdr:from>
    <xdr:to>
      <xdr:col>16</xdr:col>
      <xdr:colOff>64736</xdr:colOff>
      <xdr:row>6</xdr:row>
      <xdr:rowOff>549970</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F00-000003000000}"/>
                </a:ext>
              </a:extLst>
            </xdr:cNvPr>
            <xdr:cNvSpPr txBox="1"/>
          </xdr:nvSpPr>
          <xdr:spPr>
            <a:xfrm>
              <a:off x="9937020" y="5421663"/>
              <a:ext cx="6586916"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𝑇𝑜𝑡𝑎𝑙</m:t>
                    </m:r>
                    <m:r>
                      <a:rPr lang="en-AU" sz="1400" b="0" i="1">
                        <a:latin typeface="Cambria Math"/>
                      </a:rPr>
                      <m:t> </m:t>
                    </m:r>
                    <m:r>
                      <a:rPr lang="en-AU" sz="1400" b="0" i="1">
                        <a:latin typeface="Cambria Math"/>
                      </a:rPr>
                      <m:t>𝐴𝑠𝑠𝑒𝑡</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𝑆𝑎𝑙𝑒𝑠</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3" name="TextBox 2">
              <a:extLst>
                <a:ext uri="{FF2B5EF4-FFF2-40B4-BE49-F238E27FC236}">
                  <a16:creationId xmlns:a16="http://schemas.microsoft.com/office/drawing/2014/main" xmlns="" xmlns:a14="http://schemas.microsoft.com/office/drawing/2010/main" id="{00000000-0008-0000-1900-000003000000}"/>
                </a:ext>
              </a:extLst>
            </xdr:cNvPr>
            <xdr:cNvSpPr txBox="1"/>
          </xdr:nvSpPr>
          <xdr:spPr>
            <a:xfrm>
              <a:off x="9937020" y="5421663"/>
              <a:ext cx="6586916"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𝑇𝑜𝑡𝑎𝑙 𝐴𝑠𝑠𝑒𝑡 𝑇𝑢𝑟𝑛𝑜𝑣𝑒𝑟 𝑅𝑎𝑡𝑖𝑜=  (𝑁𝑒𝑡 𝑆𝑎𝑙𝑒𝑠)/(𝑇𝑜𝑡𝑎𝑙 𝐴𝑠𝑠𝑒𝑡𝑠)</a:t>
              </a:r>
              <a:endParaRPr lang="en-AU" sz="1400"/>
            </a:p>
          </xdr:txBody>
        </xdr:sp>
      </mc:Fallback>
    </mc:AlternateContent>
    <xdr:clientData/>
  </xdr:twoCellAnchor>
  <xdr:twoCellAnchor>
    <xdr:from>
      <xdr:col>8</xdr:col>
      <xdr:colOff>121380</xdr:colOff>
      <xdr:row>4</xdr:row>
      <xdr:rowOff>32368</xdr:rowOff>
    </xdr:from>
    <xdr:to>
      <xdr:col>16</xdr:col>
      <xdr:colOff>72828</xdr:colOff>
      <xdr:row>4</xdr:row>
      <xdr:rowOff>534300</xdr:rowOff>
    </xdr:to>
    <mc:AlternateContent xmlns:mc="http://schemas.openxmlformats.org/markup-compatibility/2006" xmlns:a14="http://schemas.microsoft.com/office/drawing/2010/main">
      <mc:Choice Requires="a14">
        <xdr:sp macro="" textlink="">
          <xdr:nvSpPr>
            <xdr:cNvPr id="4" name="TextBox 2">
              <a:extLst>
                <a:ext uri="{FF2B5EF4-FFF2-40B4-BE49-F238E27FC236}">
                  <a16:creationId xmlns:a16="http://schemas.microsoft.com/office/drawing/2014/main" id="{00000000-0008-0000-1F00-000004000000}"/>
                </a:ext>
              </a:extLst>
            </xdr:cNvPr>
            <xdr:cNvSpPr txBox="1"/>
          </xdr:nvSpPr>
          <xdr:spPr>
            <a:xfrm>
              <a:off x="9937019" y="4062202"/>
              <a:ext cx="6595009"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𝑅𝑒𝑡𝑢𝑟𝑛</m:t>
                    </m:r>
                    <m:r>
                      <a:rPr lang="en-AU" sz="1400" b="0" i="1">
                        <a:latin typeface="Cambria Math"/>
                      </a:rPr>
                      <m:t> </m:t>
                    </m:r>
                    <m:r>
                      <a:rPr lang="en-AU" sz="1400" b="0" i="1">
                        <a:latin typeface="Cambria Math"/>
                      </a:rPr>
                      <m:t>𝑜𝑛</m:t>
                    </m:r>
                    <m:r>
                      <a:rPr lang="en-AU" sz="1400" b="0" i="1">
                        <a:latin typeface="Cambria Math"/>
                      </a:rPr>
                      <m:t> </m:t>
                    </m:r>
                    <m:r>
                      <a:rPr lang="en-AU" sz="1400" b="0" i="1">
                        <a:latin typeface="Cambria Math"/>
                      </a:rPr>
                      <m:t>𝐴𝑠𝑠𝑒𝑡𝑠</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4" name="TextBox 2">
              <a:extLst>
                <a:ext uri="{FF2B5EF4-FFF2-40B4-BE49-F238E27FC236}">
                  <a16:creationId xmlns:a16="http://schemas.microsoft.com/office/drawing/2014/main" xmlns="" xmlns:a14="http://schemas.microsoft.com/office/drawing/2010/main" id="{00000000-0008-0000-1900-000004000000}"/>
                </a:ext>
              </a:extLst>
            </xdr:cNvPr>
            <xdr:cNvSpPr txBox="1"/>
          </xdr:nvSpPr>
          <xdr:spPr>
            <a:xfrm>
              <a:off x="9937019" y="4062202"/>
              <a:ext cx="6595009"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𝑅𝑒𝑡𝑢𝑟𝑛 𝑜𝑛 𝐴𝑠𝑠𝑒𝑡𝑠 𝑅𝑎𝑡𝑖𝑜=  (𝑁𝑒𝑡 𝑃𝑟𝑜𝑓𝑖𝑡)/(𝑇𝑜𝑡𝑎𝑙 𝐴𝑠𝑠𝑒𝑡𝑠)</a:t>
              </a:r>
              <a:endParaRPr lang="en-AU" sz="1400"/>
            </a:p>
          </xdr:txBody>
        </xdr:sp>
      </mc:Fallback>
    </mc:AlternateContent>
    <xdr:clientData/>
  </xdr:twoCellAnchor>
  <xdr:twoCellAnchor>
    <xdr:from>
      <xdr:col>8</xdr:col>
      <xdr:colOff>129472</xdr:colOff>
      <xdr:row>3</xdr:row>
      <xdr:rowOff>24276</xdr:rowOff>
    </xdr:from>
    <xdr:to>
      <xdr:col>16</xdr:col>
      <xdr:colOff>72232</xdr:colOff>
      <xdr:row>3</xdr:row>
      <xdr:rowOff>526208</xdr:rowOff>
    </xdr:to>
    <mc:AlternateContent xmlns:mc="http://schemas.openxmlformats.org/markup-compatibility/2006" xmlns:a14="http://schemas.microsoft.com/office/drawing/2010/main">
      <mc:Choice Requires="a14">
        <xdr:sp macro="" textlink="">
          <xdr:nvSpPr>
            <xdr:cNvPr id="5" name="TextBox 2">
              <a:extLst>
                <a:ext uri="{FF2B5EF4-FFF2-40B4-BE49-F238E27FC236}">
                  <a16:creationId xmlns:a16="http://schemas.microsoft.com/office/drawing/2014/main" id="{00000000-0008-0000-1F00-000005000000}"/>
                </a:ext>
              </a:extLst>
            </xdr:cNvPr>
            <xdr:cNvSpPr txBox="1"/>
          </xdr:nvSpPr>
          <xdr:spPr>
            <a:xfrm>
              <a:off x="9945111" y="3382471"/>
              <a:ext cx="6586321"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𝐺𝑟𝑜𝑠𝑠</m:t>
                    </m:r>
                    <m:r>
                      <a:rPr lang="en-AU" sz="1400" b="0" i="1">
                        <a:latin typeface="Cambria Math"/>
                      </a:rPr>
                      <m:t> </m:t>
                    </m:r>
                    <m:r>
                      <a:rPr lang="en-AU" sz="1400" b="0" i="1">
                        <a:latin typeface="Cambria Math"/>
                      </a:rPr>
                      <m:t>𝑃𝑟𝑜𝑓𝑖𝑡</m:t>
                    </m:r>
                    <m:r>
                      <a:rPr lang="en-AU" sz="1400" b="0" i="1">
                        <a:latin typeface="Cambria Math"/>
                      </a:rPr>
                      <m:t> </m:t>
                    </m:r>
                    <m:r>
                      <a:rPr lang="en-AU" sz="1400" b="0" i="1">
                        <a:latin typeface="Cambria Math"/>
                      </a:rPr>
                      <m:t>𝑀𝑎𝑟𝑔𝑖𝑛</m:t>
                    </m:r>
                    <m:r>
                      <a:rPr lang="en-AU" sz="1400" b="0" i="1">
                        <a:latin typeface="Cambria Math"/>
                      </a:rPr>
                      <m:t>= </m:t>
                    </m:r>
                    <m:f>
                      <m:fPr>
                        <m:ctrlPr>
                          <a:rPr lang="en-AU" sz="1400" b="0" i="1">
                            <a:latin typeface="Cambria Math" panose="02040503050406030204" pitchFamily="18" charset="0"/>
                          </a:rPr>
                        </m:ctrlPr>
                      </m:fPr>
                      <m:num>
                        <m:r>
                          <a:rPr lang="en-AU" sz="1400" i="1">
                            <a:latin typeface="Cambria Math"/>
                          </a:rPr>
                          <m:t>𝐺𝑟𝑜𝑠𝑠</m:t>
                        </m:r>
                        <m:r>
                          <a:rPr lang="en-AU" sz="1400" i="1">
                            <a:latin typeface="Cambria Math"/>
                          </a:rPr>
                          <m:t> </m:t>
                        </m:r>
                        <m:r>
                          <a:rPr lang="en-AU" sz="1400" i="1">
                            <a:latin typeface="Cambria Math"/>
                          </a:rPr>
                          <m:t>𝑃𝑟𝑜𝑓𝑖𝑡</m:t>
                        </m:r>
                      </m:num>
                      <m:den>
                        <m:r>
                          <a:rPr lang="en-AU" sz="1400" i="1">
                            <a:latin typeface="Cambria Math"/>
                          </a:rPr>
                          <m:t>𝑁𝑒𝑡</m:t>
                        </m:r>
                        <m:r>
                          <a:rPr lang="en-AU" sz="1400" i="1">
                            <a:latin typeface="Cambria Math"/>
                          </a:rPr>
                          <m:t> </m:t>
                        </m:r>
                        <m:r>
                          <a:rPr lang="en-AU" sz="1400" i="1">
                            <a:latin typeface="Cambria Math"/>
                          </a:rPr>
                          <m:t>𝑆𝑎𝑙𝑒𝑠</m:t>
                        </m:r>
                      </m:den>
                    </m:f>
                  </m:oMath>
                </m:oMathPara>
              </a14:m>
              <a:endParaRPr lang="en-AU" sz="1400"/>
            </a:p>
          </xdr:txBody>
        </xdr:sp>
      </mc:Choice>
      <mc:Fallback xmlns="">
        <xdr:sp macro="" textlink="">
          <xdr:nvSpPr>
            <xdr:cNvPr id="5" name="TextBox 2">
              <a:extLst>
                <a:ext uri="{FF2B5EF4-FFF2-40B4-BE49-F238E27FC236}">
                  <a16:creationId xmlns:a16="http://schemas.microsoft.com/office/drawing/2014/main" xmlns="" xmlns:a14="http://schemas.microsoft.com/office/drawing/2010/main" id="{00000000-0008-0000-1900-000005000000}"/>
                </a:ext>
              </a:extLst>
            </xdr:cNvPr>
            <xdr:cNvSpPr txBox="1"/>
          </xdr:nvSpPr>
          <xdr:spPr>
            <a:xfrm>
              <a:off x="9945111" y="3382471"/>
              <a:ext cx="6586321"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𝐺𝑟𝑜𝑠𝑠 𝑃𝑟𝑜𝑓𝑖𝑡 𝑀𝑎𝑟𝑔𝑖𝑛= </a:t>
              </a:r>
              <a:r>
                <a:rPr lang="en-AU" sz="1400" i="0">
                  <a:latin typeface="Cambria Math"/>
                </a:rPr>
                <a:t> </a:t>
              </a:r>
              <a:r>
                <a:rPr lang="en-AU" sz="1400" b="0" i="0">
                  <a:latin typeface="Cambria Math"/>
                </a:rPr>
                <a:t>(</a:t>
              </a:r>
              <a:r>
                <a:rPr lang="en-AU" sz="1400" i="0">
                  <a:latin typeface="Cambria Math"/>
                </a:rPr>
                <a:t>𝐺𝑟𝑜𝑠𝑠 𝑃𝑟𝑜𝑓𝑖𝑡</a:t>
              </a:r>
              <a:r>
                <a:rPr lang="en-AU" sz="1400" b="0" i="0">
                  <a:latin typeface="Cambria Math"/>
                </a:rPr>
                <a:t>)/(</a:t>
              </a:r>
              <a:r>
                <a:rPr lang="en-AU" sz="1400" i="0">
                  <a:latin typeface="Cambria Math"/>
                </a:rPr>
                <a:t>𝑁𝑒𝑡 𝑆𝑎𝑙𝑒𝑠</a:t>
              </a:r>
              <a:r>
                <a:rPr lang="en-AU" sz="1400" b="0" i="0">
                  <a:latin typeface="Cambria Math"/>
                </a:rPr>
                <a:t>)</a:t>
              </a:r>
              <a:endParaRPr lang="en-AU" sz="1400"/>
            </a:p>
          </xdr:txBody>
        </xdr:sp>
      </mc:Fallback>
    </mc:AlternateContent>
    <xdr:clientData/>
  </xdr:twoCellAnchor>
  <xdr:twoCellAnchor>
    <xdr:from>
      <xdr:col>8</xdr:col>
      <xdr:colOff>129472</xdr:colOff>
      <xdr:row>8</xdr:row>
      <xdr:rowOff>40459</xdr:rowOff>
    </xdr:from>
    <xdr:to>
      <xdr:col>16</xdr:col>
      <xdr:colOff>80324</xdr:colOff>
      <xdr:row>8</xdr:row>
      <xdr:rowOff>537583</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945111" y="6756848"/>
              <a:ext cx="6594413" cy="49712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𝐶𝑢𝑟𝑟𝑒𝑛𝑡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𝐶𝑢𝑟𝑟𝑒𝑛𝑡</m:t>
                        </m:r>
                        <m:r>
                          <a:rPr lang="en-AU" sz="1400" b="0" i="1">
                            <a:latin typeface="Cambria Math"/>
                          </a:rPr>
                          <m:t> </m:t>
                        </m:r>
                        <m:r>
                          <a:rPr lang="en-AU" sz="1400" b="0" i="1">
                            <a:latin typeface="Cambria Math"/>
                          </a:rPr>
                          <m:t>𝐴𝑠𝑠𝑒𝑡𝑠</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6" name="TextBox 5">
              <a:extLst>
                <a:ext uri="{FF2B5EF4-FFF2-40B4-BE49-F238E27FC236}">
                  <a16:creationId xmlns:a16="http://schemas.microsoft.com/office/drawing/2014/main" xmlns="" xmlns:a14="http://schemas.microsoft.com/office/drawing/2010/main" id="{00000000-0008-0000-1900-000007000000}"/>
                </a:ext>
              </a:extLst>
            </xdr:cNvPr>
            <xdr:cNvSpPr txBox="1"/>
          </xdr:nvSpPr>
          <xdr:spPr>
            <a:xfrm>
              <a:off x="9945111" y="6756848"/>
              <a:ext cx="6594413" cy="49712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𝐶𝑢𝑟𝑟𝑒𝑛𝑡 𝑅𝑎𝑡𝑖𝑜=  (𝐶𝑢𝑟𝑟𝑒𝑛𝑡 𝐴𝑠𝑠𝑒𝑡𝑠)/(𝐶𝑢𝑟𝑟𝑒𝑛𝑡 𝐿𝑖𝑎𝑏𝑖𝑙𝑖𝑡𝑖𝑒𝑠)</a:t>
              </a:r>
              <a:endParaRPr lang="en-AU" sz="1400"/>
            </a:p>
          </xdr:txBody>
        </xdr:sp>
      </mc:Fallback>
    </mc:AlternateContent>
    <xdr:clientData/>
  </xdr:twoCellAnchor>
  <xdr:twoCellAnchor>
    <xdr:from>
      <xdr:col>8</xdr:col>
      <xdr:colOff>137565</xdr:colOff>
      <xdr:row>13</xdr:row>
      <xdr:rowOff>0</xdr:rowOff>
    </xdr:from>
    <xdr:to>
      <xdr:col>16</xdr:col>
      <xdr:colOff>80920</xdr:colOff>
      <xdr:row>13</xdr:row>
      <xdr:rowOff>539635</xdr:rowOff>
    </xdr:to>
    <mc:AlternateContent xmlns:mc="http://schemas.openxmlformats.org/markup-compatibility/2006" xmlns:a14="http://schemas.microsoft.com/office/drawing/2010/main">
      <mc:Choice Requires="a14">
        <xdr:sp macro="" textlink="">
          <xdr:nvSpPr>
            <xdr:cNvPr id="7" name="TextBox 2">
              <a:extLst>
                <a:ext uri="{FF2B5EF4-FFF2-40B4-BE49-F238E27FC236}">
                  <a16:creationId xmlns:a16="http://schemas.microsoft.com/office/drawing/2014/main" id="{00000000-0008-0000-1F00-000007000000}"/>
                </a:ext>
              </a:extLst>
            </xdr:cNvPr>
            <xdr:cNvSpPr txBox="1"/>
          </xdr:nvSpPr>
          <xdr:spPr>
            <a:xfrm>
              <a:off x="9953204" y="10471094"/>
              <a:ext cx="6586916" cy="539635"/>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𝐼𝑛𝑣𝑒𝑛𝑡𝑜𝑟𝑦</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𝐶𝑜𝑠𝑡</m:t>
                        </m:r>
                        <m:r>
                          <a:rPr lang="en-AU" sz="1400" b="0" i="1">
                            <a:latin typeface="Cambria Math"/>
                          </a:rPr>
                          <m:t> </m:t>
                        </m:r>
                        <m:r>
                          <a:rPr lang="en-AU" sz="1400" b="0" i="1">
                            <a:latin typeface="Cambria Math"/>
                          </a:rPr>
                          <m:t>𝑜𝑓</m:t>
                        </m:r>
                        <m:r>
                          <a:rPr lang="en-AU" sz="1400" b="0" i="1">
                            <a:latin typeface="Cambria Math"/>
                          </a:rPr>
                          <m:t> </m:t>
                        </m:r>
                        <m:r>
                          <a:rPr lang="en-AU" sz="1400" b="0" i="1">
                            <a:latin typeface="Cambria Math"/>
                          </a:rPr>
                          <m:t>𝑆𝑎𝑙𝑒𝑠</m:t>
                        </m:r>
                      </m:num>
                      <m:den>
                        <m:r>
                          <a:rPr lang="en-AU" sz="1400" b="0" i="1">
                            <a:latin typeface="Cambria Math"/>
                          </a:rPr>
                          <m:t>𝐴𝑣𝑒𝑟𝑎𝑔𝑒</m:t>
                        </m:r>
                        <m:r>
                          <a:rPr lang="en-AU" sz="1400" b="0" i="1">
                            <a:latin typeface="Cambria Math"/>
                          </a:rPr>
                          <m:t> </m:t>
                        </m:r>
                        <m:r>
                          <a:rPr lang="en-AU" sz="1400" b="0" i="1">
                            <a:latin typeface="Cambria Math"/>
                          </a:rPr>
                          <m:t>𝐼𝑛𝑣𝑒𝑛𝑡𝑜𝑟𝑦</m:t>
                        </m:r>
                        <m:r>
                          <a:rPr lang="en-AU" sz="1400" b="0" i="1">
                            <a:latin typeface="Cambria Math"/>
                          </a:rPr>
                          <m:t> </m:t>
                        </m:r>
                        <m:r>
                          <a:rPr lang="en-AU" sz="1400" b="0" i="1">
                            <a:latin typeface="Cambria Math"/>
                          </a:rPr>
                          <m:t>𝐵𝑎𝑙𝑎𝑛𝑐𝑒</m:t>
                        </m:r>
                      </m:den>
                    </m:f>
                  </m:oMath>
                </m:oMathPara>
              </a14:m>
              <a:endParaRPr lang="en-AU" sz="1400"/>
            </a:p>
          </xdr:txBody>
        </xdr:sp>
      </mc:Choice>
      <mc:Fallback xmlns="">
        <xdr:sp macro="" textlink="">
          <xdr:nvSpPr>
            <xdr:cNvPr id="7" name="TextBox 2">
              <a:extLst>
                <a:ext uri="{FF2B5EF4-FFF2-40B4-BE49-F238E27FC236}">
                  <a16:creationId xmlns:a16="http://schemas.microsoft.com/office/drawing/2014/main" xmlns="" xmlns:a14="http://schemas.microsoft.com/office/drawing/2010/main" id="{00000000-0008-0000-1900-000009000000}"/>
                </a:ext>
              </a:extLst>
            </xdr:cNvPr>
            <xdr:cNvSpPr txBox="1"/>
          </xdr:nvSpPr>
          <xdr:spPr>
            <a:xfrm>
              <a:off x="9953204" y="10471094"/>
              <a:ext cx="6586916" cy="539635"/>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𝐼𝑛𝑣𝑒𝑛𝑡𝑜𝑟𝑦 𝑇𝑢𝑟𝑛𝑜𝑣𝑒𝑟 𝑅𝑎𝑡𝑖𝑜=  (𝐶𝑜𝑠𝑡 𝑜𝑓 𝑆𝑎𝑙𝑒𝑠)/(𝐴𝑣𝑒𝑟𝑎𝑔𝑒 𝐼𝑛𝑣𝑒𝑛𝑡𝑜𝑟𝑦 𝐵𝑎𝑙𝑎𝑛𝑐𝑒)</a:t>
              </a:r>
              <a:endParaRPr lang="en-AU" sz="1400"/>
            </a:p>
          </xdr:txBody>
        </xdr:sp>
      </mc:Fallback>
    </mc:AlternateContent>
    <xdr:clientData/>
  </xdr:twoCellAnchor>
  <xdr:twoCellAnchor>
    <xdr:from>
      <xdr:col>8</xdr:col>
      <xdr:colOff>153749</xdr:colOff>
      <xdr:row>11</xdr:row>
      <xdr:rowOff>24276</xdr:rowOff>
    </xdr:from>
    <xdr:to>
      <xdr:col>16</xdr:col>
      <xdr:colOff>88417</xdr:colOff>
      <xdr:row>11</xdr:row>
      <xdr:rowOff>525695</xdr:rowOff>
    </xdr:to>
    <mc:AlternateContent xmlns:mc="http://schemas.openxmlformats.org/markup-compatibility/2006" xmlns:a14="http://schemas.microsoft.com/office/drawing/2010/main">
      <mc:Choice Requires="a14">
        <xdr:sp macro="" textlink="">
          <xdr:nvSpPr>
            <xdr:cNvPr id="8" name="TextBox 2">
              <a:extLst>
                <a:ext uri="{FF2B5EF4-FFF2-40B4-BE49-F238E27FC236}">
                  <a16:creationId xmlns:a16="http://schemas.microsoft.com/office/drawing/2014/main" id="{00000000-0008-0000-1F00-000008000000}"/>
                </a:ext>
              </a:extLst>
            </xdr:cNvPr>
            <xdr:cNvSpPr txBox="1"/>
          </xdr:nvSpPr>
          <xdr:spPr>
            <a:xfrm>
              <a:off x="9969388" y="8771766"/>
              <a:ext cx="6578229"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𝑄𝑢𝑖𝑐𝑘</m:t>
                    </m:r>
                    <m:r>
                      <a:rPr lang="en-AU" sz="1400" b="0" i="1">
                        <a:latin typeface="Cambria Math"/>
                      </a:rPr>
                      <m:t> </m:t>
                    </m:r>
                    <m:r>
                      <a:rPr lang="en-AU" sz="1400" b="0" i="1">
                        <a:latin typeface="Cambria Math"/>
                      </a:rPr>
                      <m:t>𝑅𝑎𝑡𝑖𝑜</m:t>
                    </m:r>
                    <m:r>
                      <a:rPr lang="en-AU" sz="1400" b="0" i="1">
                        <a:latin typeface="Cambria Math"/>
                      </a:rPr>
                      <m:t> </m:t>
                    </m:r>
                    <m:r>
                      <a:rPr lang="en-AU" sz="1400" b="0" i="1">
                        <a:latin typeface="Cambria Math"/>
                      </a:rPr>
                      <m:t>𝑂𝑅</m:t>
                    </m:r>
                    <m:r>
                      <a:rPr lang="en-AU" sz="1400" b="0" i="1">
                        <a:latin typeface="Cambria Math"/>
                      </a:rPr>
                      <m:t> </m:t>
                    </m:r>
                    <m:r>
                      <a:rPr lang="en-AU" sz="1400" b="0" i="1">
                        <a:latin typeface="Cambria Math"/>
                      </a:rPr>
                      <m:t>𝐴𝑐𝑖𝑑</m:t>
                    </m:r>
                    <m:r>
                      <a:rPr lang="en-AU" sz="1400" b="0" i="1">
                        <a:latin typeface="Cambria Math"/>
                      </a:rPr>
                      <m:t> </m:t>
                    </m:r>
                    <m:r>
                      <a:rPr lang="en-AU" sz="1400" b="0" i="1">
                        <a:latin typeface="Cambria Math"/>
                      </a:rPr>
                      <m:t>𝑇𝑒𝑠𝑡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𝐶𝑎𝑠h</m:t>
                        </m:r>
                        <m:r>
                          <a:rPr lang="en-AU" sz="1400" b="0" i="1">
                            <a:latin typeface="Cambria Math"/>
                          </a:rPr>
                          <m:t>+</m:t>
                        </m:r>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8" name="TextBox 2">
              <a:extLst>
                <a:ext uri="{FF2B5EF4-FFF2-40B4-BE49-F238E27FC236}">
                  <a16:creationId xmlns:a16="http://schemas.microsoft.com/office/drawing/2014/main" xmlns="" xmlns:a14="http://schemas.microsoft.com/office/drawing/2010/main" id="{00000000-0008-0000-1900-00000A000000}"/>
                </a:ext>
              </a:extLst>
            </xdr:cNvPr>
            <xdr:cNvSpPr txBox="1"/>
          </xdr:nvSpPr>
          <xdr:spPr>
            <a:xfrm>
              <a:off x="9969388" y="8771766"/>
              <a:ext cx="6578229"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𝑄𝑢𝑖𝑐𝑘 𝑅𝑎𝑡𝑖𝑜 𝑂𝑅 𝐴𝑐𝑖𝑑 𝑇𝑒𝑠𝑡 𝑅𝑎𝑡𝑖𝑜=  (𝐶𝑎𝑠ℎ+𝐴𝑐𝑐𝑜𝑢𝑛𝑡𝑠 𝑅𝑒𝑐𝑒𝑖𝑣𝑎𝑏𝑙𝑒)/(𝐶𝑢𝑟𝑟𝑒𝑛𝑡 𝐿𝑖𝑎𝑏𝑖𝑙𝑖𝑡𝑖𝑒𝑠)</a:t>
              </a:r>
              <a:endParaRPr lang="en-AU" sz="1400"/>
            </a:p>
          </xdr:txBody>
        </xdr:sp>
      </mc:Fallback>
    </mc:AlternateContent>
    <xdr:clientData/>
  </xdr:twoCellAnchor>
  <xdr:twoCellAnchor>
    <xdr:from>
      <xdr:col>8</xdr:col>
      <xdr:colOff>169933</xdr:colOff>
      <xdr:row>10</xdr:row>
      <xdr:rowOff>16184</xdr:rowOff>
    </xdr:from>
    <xdr:to>
      <xdr:col>16</xdr:col>
      <xdr:colOff>89013</xdr:colOff>
      <xdr:row>10</xdr:row>
      <xdr:rowOff>517603</xdr:rowOff>
    </xdr:to>
    <mc:AlternateContent xmlns:mc="http://schemas.openxmlformats.org/markup-compatibility/2006" xmlns:a14="http://schemas.microsoft.com/office/drawing/2010/main">
      <mc:Choice Requires="a14">
        <xdr:sp macro="" textlink="">
          <xdr:nvSpPr>
            <xdr:cNvPr id="9" name="TextBox 2">
              <a:extLst>
                <a:ext uri="{FF2B5EF4-FFF2-40B4-BE49-F238E27FC236}">
                  <a16:creationId xmlns:a16="http://schemas.microsoft.com/office/drawing/2014/main" id="{00000000-0008-0000-1F00-000009000000}"/>
                </a:ext>
              </a:extLst>
            </xdr:cNvPr>
            <xdr:cNvSpPr txBox="1"/>
          </xdr:nvSpPr>
          <xdr:spPr>
            <a:xfrm>
              <a:off x="9985572" y="8092035"/>
              <a:ext cx="6562641"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𝐶𝑎𝑠h</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𝐶𝑎𝑠h</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9" name="TextBox 2">
              <a:extLst>
                <a:ext uri="{FF2B5EF4-FFF2-40B4-BE49-F238E27FC236}">
                  <a16:creationId xmlns:a16="http://schemas.microsoft.com/office/drawing/2014/main" xmlns="" xmlns:a14="http://schemas.microsoft.com/office/drawing/2010/main" id="{00000000-0008-0000-1900-00000B000000}"/>
                </a:ext>
              </a:extLst>
            </xdr:cNvPr>
            <xdr:cNvSpPr txBox="1"/>
          </xdr:nvSpPr>
          <xdr:spPr>
            <a:xfrm>
              <a:off x="9985572" y="8092035"/>
              <a:ext cx="6562641"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𝐶𝑎𝑠ℎ 𝑅𝑎𝑡𝑖𝑜=  𝐶𝑎𝑠ℎ/(𝐶𝑢𝑟𝑟𝑒𝑛𝑡 𝐿𝑖𝑎𝑏𝑖𝑙𝑖𝑡𝑖𝑒𝑠)</a:t>
              </a:r>
              <a:endParaRPr lang="en-AU" sz="1400"/>
            </a:p>
          </xdr:txBody>
        </xdr:sp>
      </mc:Fallback>
    </mc:AlternateContent>
    <xdr:clientData/>
  </xdr:twoCellAnchor>
  <xdr:twoCellAnchor>
    <xdr:from>
      <xdr:col>8</xdr:col>
      <xdr:colOff>178025</xdr:colOff>
      <xdr:row>15</xdr:row>
      <xdr:rowOff>24276</xdr:rowOff>
    </xdr:from>
    <xdr:to>
      <xdr:col>16</xdr:col>
      <xdr:colOff>96507</xdr:colOff>
      <xdr:row>15</xdr:row>
      <xdr:rowOff>525695</xdr:rowOff>
    </xdr:to>
    <mc:AlternateContent xmlns:mc="http://schemas.openxmlformats.org/markup-compatibility/2006" xmlns:a14="http://schemas.microsoft.com/office/drawing/2010/main">
      <mc:Choice Requires="a14">
        <xdr:sp macro="" textlink="">
          <xdr:nvSpPr>
            <xdr:cNvPr id="10" name="TextBox 5">
              <a:extLst>
                <a:ext uri="{FF2B5EF4-FFF2-40B4-BE49-F238E27FC236}">
                  <a16:creationId xmlns:a16="http://schemas.microsoft.com/office/drawing/2014/main" id="{00000000-0008-0000-1F00-00000A000000}"/>
                </a:ext>
              </a:extLst>
            </xdr:cNvPr>
            <xdr:cNvSpPr txBox="1"/>
          </xdr:nvSpPr>
          <xdr:spPr>
            <a:xfrm>
              <a:off x="9993664" y="11838648"/>
              <a:ext cx="6562043"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𝐷𝑒𝑏𝑡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𝐿𝑖𝑎𝑏𝑖𝑙𝑖𝑡𝑖𝑒𝑠</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10" name="TextBox 5">
              <a:extLst>
                <a:ext uri="{FF2B5EF4-FFF2-40B4-BE49-F238E27FC236}">
                  <a16:creationId xmlns:a16="http://schemas.microsoft.com/office/drawing/2014/main" xmlns="" xmlns:a14="http://schemas.microsoft.com/office/drawing/2010/main" id="{00000000-0008-0000-1900-00000C000000}"/>
                </a:ext>
              </a:extLst>
            </xdr:cNvPr>
            <xdr:cNvSpPr txBox="1"/>
          </xdr:nvSpPr>
          <xdr:spPr>
            <a:xfrm>
              <a:off x="9993664" y="11838648"/>
              <a:ext cx="6562043"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𝐷𝑒𝑏𝑡 𝑅𝑎𝑡𝑖𝑜=  (𝑇𝑜𝑡𝑎𝑙 𝐿𝑖𝑎𝑏𝑖𝑙𝑖𝑡𝑖𝑒𝑠)/(𝑇𝑜𝑡𝑎𝑙 𝐴𝑠𝑠𝑒𝑡𝑠)</a:t>
              </a:r>
              <a:endParaRPr lang="en-AU" sz="1400"/>
            </a:p>
          </xdr:txBody>
        </xdr:sp>
      </mc:Fallback>
    </mc:AlternateContent>
    <xdr:clientData/>
  </xdr:twoCellAnchor>
  <xdr:twoCellAnchor>
    <xdr:from>
      <xdr:col>8</xdr:col>
      <xdr:colOff>178025</xdr:colOff>
      <xdr:row>16</xdr:row>
      <xdr:rowOff>8092</xdr:rowOff>
    </xdr:from>
    <xdr:to>
      <xdr:col>16</xdr:col>
      <xdr:colOff>88415</xdr:colOff>
      <xdr:row>16</xdr:row>
      <xdr:rowOff>546253</xdr:rowOff>
    </xdr:to>
    <mc:AlternateContent xmlns:mc="http://schemas.openxmlformats.org/markup-compatibility/2006" xmlns:a14="http://schemas.microsoft.com/office/drawing/2010/main">
      <mc:Choice Requires="a14">
        <xdr:sp macro="" textlink="">
          <xdr:nvSpPr>
            <xdr:cNvPr id="11" name="TextBox 6">
              <a:extLst>
                <a:ext uri="{FF2B5EF4-FFF2-40B4-BE49-F238E27FC236}">
                  <a16:creationId xmlns:a16="http://schemas.microsoft.com/office/drawing/2014/main" id="{00000000-0008-0000-1F00-00000B000000}"/>
                </a:ext>
              </a:extLst>
            </xdr:cNvPr>
            <xdr:cNvSpPr txBox="1"/>
          </xdr:nvSpPr>
          <xdr:spPr>
            <a:xfrm>
              <a:off x="9993664" y="12494103"/>
              <a:ext cx="6553951"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𝐷𝑒𝑏𝑡</m:t>
                    </m:r>
                    <m:r>
                      <a:rPr lang="en-AU" sz="1400" b="0" i="1">
                        <a:latin typeface="Cambria Math"/>
                      </a:rPr>
                      <m:t> </m:t>
                    </m:r>
                    <m:r>
                      <a:rPr lang="en-AU" sz="1400" b="0" i="1">
                        <a:latin typeface="Cambria Math"/>
                      </a:rPr>
                      <m:t>𝑡𝑜</m:t>
                    </m:r>
                    <m:r>
                      <a:rPr lang="en-AU" sz="1400" b="0" i="1">
                        <a:latin typeface="Cambria Math"/>
                      </a:rPr>
                      <m:t> </m:t>
                    </m:r>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𝐿𝑖𝑎𝑏𝑖𝑙𝑖𝑡𝑖𝑒𝑠</m:t>
                        </m:r>
                      </m:num>
                      <m:den>
                        <m:r>
                          <a:rPr lang="en-AU" sz="1400" b="0" i="1">
                            <a:latin typeface="Cambria Math"/>
                          </a:rPr>
                          <m:t>𝑇𝑜𝑡𝑎𝑙</m:t>
                        </m:r>
                        <m:r>
                          <a:rPr lang="en-AU" sz="1400" b="0" i="1">
                            <a:latin typeface="Cambria Math"/>
                          </a:rPr>
                          <m:t> </m:t>
                        </m:r>
                        <m:r>
                          <a:rPr lang="en-AU" sz="1400" b="0" i="1">
                            <a:latin typeface="Cambria Math"/>
                          </a:rPr>
                          <m:t>𝐸𝑞𝑢𝑖𝑡𝑦</m:t>
                        </m:r>
                      </m:den>
                    </m:f>
                  </m:oMath>
                </m:oMathPara>
              </a14:m>
              <a:endParaRPr lang="en-AU" sz="1400"/>
            </a:p>
          </xdr:txBody>
        </xdr:sp>
      </mc:Choice>
      <mc:Fallback xmlns="">
        <xdr:sp macro="" textlink="">
          <xdr:nvSpPr>
            <xdr:cNvPr id="11" name="TextBox 6">
              <a:extLst>
                <a:ext uri="{FF2B5EF4-FFF2-40B4-BE49-F238E27FC236}">
                  <a16:creationId xmlns:a16="http://schemas.microsoft.com/office/drawing/2014/main" xmlns="" xmlns:a14="http://schemas.microsoft.com/office/drawing/2010/main" id="{00000000-0008-0000-1900-00000D000000}"/>
                </a:ext>
              </a:extLst>
            </xdr:cNvPr>
            <xdr:cNvSpPr txBox="1"/>
          </xdr:nvSpPr>
          <xdr:spPr>
            <a:xfrm>
              <a:off x="9993664" y="12494103"/>
              <a:ext cx="6553951"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𝐷𝑒𝑏𝑡 𝑡𝑜 𝐸𝑞𝑢𝑖𝑡𝑦 𝑅𝑎𝑡𝑖𝑜=  (𝑇𝑜𝑡𝑎𝑙 𝐿𝑖𝑎𝑏𝑖𝑙𝑖𝑡𝑖𝑒𝑠)/(𝑇𝑜𝑡𝑎𝑙 𝐸𝑞𝑢𝑖𝑡𝑦)</a:t>
              </a:r>
              <a:endParaRPr lang="en-AU" sz="1400"/>
            </a:p>
          </xdr:txBody>
        </xdr:sp>
      </mc:Fallback>
    </mc:AlternateContent>
    <xdr:clientData/>
  </xdr:twoCellAnchor>
  <xdr:twoCellAnchor>
    <xdr:from>
      <xdr:col>8</xdr:col>
      <xdr:colOff>178025</xdr:colOff>
      <xdr:row>17</xdr:row>
      <xdr:rowOff>32368</xdr:rowOff>
    </xdr:from>
    <xdr:to>
      <xdr:col>16</xdr:col>
      <xdr:colOff>96507</xdr:colOff>
      <xdr:row>17</xdr:row>
      <xdr:rowOff>533787</xdr:rowOff>
    </xdr:to>
    <mc:AlternateContent xmlns:mc="http://schemas.openxmlformats.org/markup-compatibility/2006" xmlns:a14="http://schemas.microsoft.com/office/drawing/2010/main">
      <mc:Choice Requires="a14">
        <xdr:sp macro="" textlink="">
          <xdr:nvSpPr>
            <xdr:cNvPr id="12" name="TextBox 6">
              <a:extLst>
                <a:ext uri="{FF2B5EF4-FFF2-40B4-BE49-F238E27FC236}">
                  <a16:creationId xmlns:a16="http://schemas.microsoft.com/office/drawing/2014/main" id="{00000000-0008-0000-1F00-00000C000000}"/>
                </a:ext>
              </a:extLst>
            </xdr:cNvPr>
            <xdr:cNvSpPr txBox="1"/>
          </xdr:nvSpPr>
          <xdr:spPr>
            <a:xfrm>
              <a:off x="9993664" y="13190018"/>
              <a:ext cx="6562043"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𝐸𝑞𝑢𝑖𝑡𝑦</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12" name="TextBox 6">
              <a:extLst>
                <a:ext uri="{FF2B5EF4-FFF2-40B4-BE49-F238E27FC236}">
                  <a16:creationId xmlns:a16="http://schemas.microsoft.com/office/drawing/2014/main" xmlns="" xmlns:a14="http://schemas.microsoft.com/office/drawing/2010/main" id="{00000000-0008-0000-1900-00000E000000}"/>
                </a:ext>
              </a:extLst>
            </xdr:cNvPr>
            <xdr:cNvSpPr txBox="1"/>
          </xdr:nvSpPr>
          <xdr:spPr>
            <a:xfrm>
              <a:off x="9993664" y="13190018"/>
              <a:ext cx="6562043"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𝐸𝑞𝑢𝑖𝑡𝑦 𝑅𝑎𝑡𝑖𝑜=  (𝑇𝑜𝑡𝑎𝑙 𝐸𝑞𝑢𝑖𝑡𝑦)/(𝑇𝑜𝑡𝑎𝑙 𝐴𝑠𝑠𝑒𝑡𝑠)</a:t>
              </a:r>
              <a:endParaRPr lang="en-AU" sz="1400"/>
            </a:p>
          </xdr:txBody>
        </xdr:sp>
      </mc:Fallback>
    </mc:AlternateContent>
    <xdr:clientData/>
  </xdr:twoCellAnchor>
  <xdr:twoCellAnchor>
    <xdr:from>
      <xdr:col>8</xdr:col>
      <xdr:colOff>125876</xdr:colOff>
      <xdr:row>5</xdr:row>
      <xdr:rowOff>8991</xdr:rowOff>
    </xdr:from>
    <xdr:to>
      <xdr:col>16</xdr:col>
      <xdr:colOff>68635</xdr:colOff>
      <xdr:row>5</xdr:row>
      <xdr:rowOff>547152</xdr:rowOff>
    </xdr:to>
    <mc:AlternateContent xmlns:mc="http://schemas.openxmlformats.org/markup-compatibility/2006" xmlns:a14="http://schemas.microsoft.com/office/drawing/2010/main">
      <mc:Choice Requires="a14">
        <xdr:sp macro="" textlink="">
          <xdr:nvSpPr>
            <xdr:cNvPr id="14" name="TextBox 2">
              <a:extLst>
                <a:ext uri="{FF2B5EF4-FFF2-40B4-BE49-F238E27FC236}">
                  <a16:creationId xmlns:a16="http://schemas.microsoft.com/office/drawing/2014/main" id="{00000000-0008-0000-1F00-00000E000000}"/>
                </a:ext>
              </a:extLst>
            </xdr:cNvPr>
            <xdr:cNvSpPr txBox="1"/>
          </xdr:nvSpPr>
          <xdr:spPr>
            <a:xfrm>
              <a:off x="9941515" y="4710464"/>
              <a:ext cx="6586320"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𝑅𝑒𝑡𝑢𝑟𝑛</m:t>
                    </m:r>
                    <m:r>
                      <a:rPr lang="en-AU" sz="1400" b="0" i="1">
                        <a:latin typeface="Cambria Math"/>
                      </a:rPr>
                      <m:t> </m:t>
                    </m:r>
                    <m:r>
                      <a:rPr lang="en-AU" sz="1400" b="0" i="1">
                        <a:latin typeface="Cambria Math"/>
                      </a:rPr>
                      <m:t>𝑜𝑛</m:t>
                    </m:r>
                    <m:r>
                      <a:rPr lang="en-AU" sz="1400" b="0" i="1">
                        <a:latin typeface="Cambria Math"/>
                      </a:rPr>
                      <m:t> </m:t>
                    </m:r>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AU" sz="1400" b="0" i="1">
                            <a:latin typeface="Cambria Math"/>
                          </a:rPr>
                          <m:t>𝑇𝑜𝑡𝑎𝑙</m:t>
                        </m:r>
                        <m:r>
                          <a:rPr lang="en-AU" sz="1400" b="0" i="1">
                            <a:latin typeface="Cambria Math"/>
                          </a:rPr>
                          <m:t> </m:t>
                        </m:r>
                        <m:r>
                          <a:rPr lang="en-AU" sz="1400" b="0" i="1">
                            <a:latin typeface="Cambria Math"/>
                          </a:rPr>
                          <m:t>𝐸𝑞𝑢𝑖𝑡𝑦</m:t>
                        </m:r>
                      </m:den>
                    </m:f>
                  </m:oMath>
                </m:oMathPara>
              </a14:m>
              <a:endParaRPr lang="en-AU" sz="1400"/>
            </a:p>
          </xdr:txBody>
        </xdr:sp>
      </mc:Choice>
      <mc:Fallback xmlns="">
        <xdr:sp macro="" textlink="">
          <xdr:nvSpPr>
            <xdr:cNvPr id="14" name="TextBox 2">
              <a:extLst>
                <a:ext uri="{FF2B5EF4-FFF2-40B4-BE49-F238E27FC236}">
                  <a16:creationId xmlns:a16="http://schemas.microsoft.com/office/drawing/2014/main" xmlns="" xmlns:a14="http://schemas.microsoft.com/office/drawing/2010/main" id="{00000000-0008-0000-1900-000011000000}"/>
                </a:ext>
              </a:extLst>
            </xdr:cNvPr>
            <xdr:cNvSpPr txBox="1"/>
          </xdr:nvSpPr>
          <xdr:spPr>
            <a:xfrm>
              <a:off x="9941515" y="4710464"/>
              <a:ext cx="6586320"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𝑅𝑒𝑡𝑢𝑟𝑛 𝑜𝑛 𝐸𝑞𝑢𝑖𝑡𝑦 𝑅𝑎𝑡𝑖𝑜=  (𝑁𝑒𝑡 𝑃𝑟𝑜𝑓𝑖𝑡)/(𝑇𝑜𝑡𝑎𝑙 𝐸𝑞𝑢𝑖𝑡𝑦)</a:t>
              </a:r>
              <a:endParaRPr lang="en-AU" sz="1400"/>
            </a:p>
          </xdr:txBody>
        </xdr:sp>
      </mc:Fallback>
    </mc:AlternateContent>
    <xdr:clientData/>
  </xdr:twoCellAnchor>
  <xdr:twoCellAnchor>
    <xdr:from>
      <xdr:col>8</xdr:col>
      <xdr:colOff>150152</xdr:colOff>
      <xdr:row>9</xdr:row>
      <xdr:rowOff>8990</xdr:rowOff>
    </xdr:from>
    <xdr:to>
      <xdr:col>16</xdr:col>
      <xdr:colOff>44957</xdr:colOff>
      <xdr:row>9</xdr:row>
      <xdr:rowOff>566441</xdr:rowOff>
    </xdr:to>
    <mc:AlternateContent xmlns:mc="http://schemas.openxmlformats.org/markup-compatibility/2006" xmlns:a14="http://schemas.microsoft.com/office/drawing/2010/main">
      <mc:Choice Requires="a14">
        <xdr:sp macro="" textlink="">
          <xdr:nvSpPr>
            <xdr:cNvPr id="15" name="TextBox 2">
              <a:extLst>
                <a:ext uri="{FF2B5EF4-FFF2-40B4-BE49-F238E27FC236}">
                  <a16:creationId xmlns:a16="http://schemas.microsoft.com/office/drawing/2014/main" id="{00000000-0008-0000-1F00-00000F000000}"/>
                </a:ext>
              </a:extLst>
            </xdr:cNvPr>
            <xdr:cNvSpPr txBox="1"/>
          </xdr:nvSpPr>
          <xdr:spPr>
            <a:xfrm>
              <a:off x="9965791" y="7397018"/>
              <a:ext cx="6538366" cy="557451"/>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𝑊𝑜𝑟𝑘𝑖𝑛𝑔</m:t>
                    </m:r>
                    <m:r>
                      <a:rPr lang="en-AU" sz="1400" b="0" i="1">
                        <a:latin typeface="Cambria Math"/>
                      </a:rPr>
                      <m:t> </m:t>
                    </m:r>
                    <m:r>
                      <a:rPr lang="en-AU" sz="1400" b="0" i="1">
                        <a:latin typeface="Cambria Math"/>
                      </a:rPr>
                      <m:t>𝐶𝑎𝑝𝑖𝑡𝑎𝑙</m:t>
                    </m:r>
                    <m:r>
                      <a:rPr lang="en-AU" sz="1400" b="0" i="1">
                        <a:latin typeface="Cambria Math"/>
                      </a:rPr>
                      <m:t>=  </m:t>
                    </m:r>
                    <m:r>
                      <a:rPr lang="en-AU" sz="1400" b="0" i="1">
                        <a:latin typeface="Cambria Math"/>
                      </a:rPr>
                      <m:t>𝐶𝑢𝑟𝑟𝑒𝑛𝑡</m:t>
                    </m:r>
                    <m:r>
                      <a:rPr lang="en-AU" sz="1400" b="0" i="1">
                        <a:latin typeface="Cambria Math"/>
                      </a:rPr>
                      <m:t> </m:t>
                    </m:r>
                    <m:r>
                      <a:rPr lang="en-AU" sz="1400" b="0" i="1">
                        <a:latin typeface="Cambria Math"/>
                      </a:rPr>
                      <m:t>𝐴𝑠𝑠𝑒𝑡𝑠</m:t>
                    </m:r>
                    <m:r>
                      <a:rPr lang="en-AU" sz="1400" b="0" i="1">
                        <a:latin typeface="Cambria Math"/>
                      </a:rPr>
                      <m:t> −</m:t>
                    </m:r>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oMath>
                </m:oMathPara>
              </a14:m>
              <a:endParaRPr lang="en-AU" sz="1400"/>
            </a:p>
          </xdr:txBody>
        </xdr:sp>
      </mc:Choice>
      <mc:Fallback xmlns="">
        <xdr:sp macro="" textlink="">
          <xdr:nvSpPr>
            <xdr:cNvPr id="15" name="TextBox 2">
              <a:extLst>
                <a:ext uri="{FF2B5EF4-FFF2-40B4-BE49-F238E27FC236}">
                  <a16:creationId xmlns:a16="http://schemas.microsoft.com/office/drawing/2014/main" xmlns="" xmlns:a14="http://schemas.microsoft.com/office/drawing/2010/main" id="{00000000-0008-0000-1900-000012000000}"/>
                </a:ext>
              </a:extLst>
            </xdr:cNvPr>
            <xdr:cNvSpPr txBox="1"/>
          </xdr:nvSpPr>
          <xdr:spPr>
            <a:xfrm>
              <a:off x="9965791" y="7397018"/>
              <a:ext cx="6538366" cy="557451"/>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𝑊𝑜𝑟𝑘𝑖𝑛𝑔 𝐶𝑎𝑝𝑖𝑡𝑎𝑙=  𝐶𝑢𝑟𝑟𝑒𝑛𝑡 𝐴𝑠𝑠𝑒𝑡𝑠 −𝐶𝑢𝑟𝑟𝑒𝑛𝑡 𝐿𝑖𝑎𝑏𝑖𝑙𝑖𝑡𝑖𝑒𝑠</a:t>
              </a:r>
              <a:endParaRPr lang="en-AU" sz="1400"/>
            </a:p>
          </xdr:txBody>
        </xdr:sp>
      </mc:Fallback>
    </mc:AlternateContent>
    <xdr:clientData/>
  </xdr:twoCellAnchor>
  <xdr:twoCellAnchor>
    <xdr:from>
      <xdr:col>8</xdr:col>
      <xdr:colOff>129472</xdr:colOff>
      <xdr:row>12</xdr:row>
      <xdr:rowOff>7193</xdr:rowOff>
    </xdr:from>
    <xdr:to>
      <xdr:col>16</xdr:col>
      <xdr:colOff>72232</xdr:colOff>
      <xdr:row>12</xdr:row>
      <xdr:rowOff>908107</xdr:rowOff>
    </xdr:to>
    <mc:AlternateContent xmlns:mc="http://schemas.openxmlformats.org/markup-compatibility/2006" xmlns:a14="http://schemas.microsoft.com/office/drawing/2010/main">
      <mc:Choice Requires="a14">
        <xdr:sp macro="" textlink="">
          <xdr:nvSpPr>
            <xdr:cNvPr id="16" name="TextBox 2">
              <a:extLst>
                <a:ext uri="{FF2B5EF4-FFF2-40B4-BE49-F238E27FC236}">
                  <a16:creationId xmlns:a16="http://schemas.microsoft.com/office/drawing/2014/main" id="{00000000-0008-0000-1F00-000010000000}"/>
                </a:ext>
              </a:extLst>
            </xdr:cNvPr>
            <xdr:cNvSpPr txBox="1"/>
          </xdr:nvSpPr>
          <xdr:spPr>
            <a:xfrm>
              <a:off x="9945111" y="9426322"/>
              <a:ext cx="6586321" cy="900914"/>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𝐶𝑟𝑒𝑑𝑖𝑡</m:t>
                        </m:r>
                        <m:r>
                          <a:rPr lang="en-AU" sz="1400" b="0" i="1">
                            <a:latin typeface="Cambria Math"/>
                          </a:rPr>
                          <m:t> </m:t>
                        </m:r>
                        <m:r>
                          <a:rPr lang="en-AU" sz="1400" b="0" i="1">
                            <a:latin typeface="Cambria Math"/>
                          </a:rPr>
                          <m:t>𝑆𝑎𝑙𝑒𝑠</m:t>
                        </m:r>
                      </m:num>
                      <m:den>
                        <m:r>
                          <a:rPr lang="en-AU" sz="1400" b="0" i="1">
                            <a:latin typeface="Cambria Math"/>
                          </a:rPr>
                          <m:t>𝐴𝑣𝑒𝑟𝑎𝑔𝑒</m:t>
                        </m:r>
                        <m:r>
                          <a:rPr lang="en-AU" sz="1400" b="0" i="1">
                            <a:latin typeface="Cambria Math"/>
                          </a:rPr>
                          <m:t> </m:t>
                        </m:r>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den>
                    </m:f>
                  </m:oMath>
                </m:oMathPara>
              </a14:m>
              <a:endParaRPr lang="en-AU" sz="1400"/>
            </a:p>
          </xdr:txBody>
        </xdr:sp>
      </mc:Choice>
      <mc:Fallback xmlns="">
        <xdr:sp macro="" textlink="">
          <xdr:nvSpPr>
            <xdr:cNvPr id="16" name="TextBox 2">
              <a:extLst>
                <a:ext uri="{FF2B5EF4-FFF2-40B4-BE49-F238E27FC236}">
                  <a16:creationId xmlns:a16="http://schemas.microsoft.com/office/drawing/2014/main" xmlns="" xmlns:a14="http://schemas.microsoft.com/office/drawing/2010/main" id="{00000000-0008-0000-1F00-000010000000}"/>
                </a:ext>
              </a:extLst>
            </xdr:cNvPr>
            <xdr:cNvSpPr txBox="1"/>
          </xdr:nvSpPr>
          <xdr:spPr>
            <a:xfrm>
              <a:off x="9945111" y="9426322"/>
              <a:ext cx="6586321" cy="900914"/>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𝐴𝑐𝑐𝑜𝑢𝑛𝑡𝑠 𝑅𝑒𝑐𝑒𝑖𝑣𝑎𝑏𝑙𝑒 𝑇𝑢𝑟𝑛𝑜𝑣𝑒𝑟 𝑅𝑎𝑡𝑖𝑜=  (𝑁𝑒𝑡 𝐶𝑟𝑒𝑑𝑖𝑡 𝑆𝑎𝑙𝑒𝑠)/(𝐴𝑣𝑒𝑟𝑎𝑔𝑒 𝐴𝑐𝑐𝑜𝑢𝑛𝑡𝑠 𝑅𝑒𝑐𝑒𝑖𝑣𝑎𝑏𝑙𝑒)</a:t>
              </a:r>
              <a:endParaRPr lang="en-AU" sz="1400"/>
            </a:p>
          </xdr:txBody>
        </xdr:sp>
      </mc:Fallback>
    </mc:AlternateContent>
    <xdr:clientData/>
  </xdr:twoCellAnchor>
  <xdr:twoCellAnchor>
    <xdr:from>
      <xdr:col>8</xdr:col>
      <xdr:colOff>199921</xdr:colOff>
      <xdr:row>18</xdr:row>
      <xdr:rowOff>85679</xdr:rowOff>
    </xdr:from>
    <xdr:to>
      <xdr:col>16</xdr:col>
      <xdr:colOff>123741</xdr:colOff>
      <xdr:row>18</xdr:row>
      <xdr:rowOff>617619</xdr:rowOff>
    </xdr:to>
    <mc:AlternateContent xmlns:mc="http://schemas.openxmlformats.org/markup-compatibility/2006" xmlns:a14="http://schemas.microsoft.com/office/drawing/2010/main">
      <mc:Choice Requires="a14">
        <xdr:sp macro="" textlink="">
          <xdr:nvSpPr>
            <xdr:cNvPr id="17" name="TextBox 2">
              <a:extLst>
                <a:ext uri="{FF2B5EF4-FFF2-40B4-BE49-F238E27FC236}">
                  <a16:creationId xmlns:a16="http://schemas.microsoft.com/office/drawing/2014/main" id="{00000000-0008-0000-1F00-000011000000}"/>
                </a:ext>
              </a:extLst>
            </xdr:cNvPr>
            <xdr:cNvSpPr txBox="1"/>
          </xdr:nvSpPr>
          <xdr:spPr>
            <a:xfrm>
              <a:off x="9320121" y="13185257"/>
              <a:ext cx="6568809" cy="531940"/>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panose="02040503050406030204" pitchFamily="18" charset="0"/>
                      </a:rPr>
                      <m:t>𝑇𝑖𝑚𝑒𝑠</m:t>
                    </m:r>
                    <m:r>
                      <a:rPr lang="en-AU" sz="1400" b="0" i="1">
                        <a:latin typeface="Cambria Math" panose="02040503050406030204" pitchFamily="18" charset="0"/>
                      </a:rPr>
                      <m:t> </m:t>
                    </m:r>
                    <m:r>
                      <a:rPr lang="en-AU" sz="1400" b="0" i="1">
                        <a:latin typeface="Cambria Math" panose="02040503050406030204" pitchFamily="18" charset="0"/>
                      </a:rPr>
                      <m:t>𝐼𝑛𝑡𝑒𝑟𝑒𝑠𝑡</m:t>
                    </m:r>
                    <m:r>
                      <a:rPr lang="en-AU" sz="1400" b="0" i="1">
                        <a:latin typeface="Cambria Math" panose="02040503050406030204" pitchFamily="18" charset="0"/>
                      </a:rPr>
                      <m:t> </m:t>
                    </m:r>
                    <m:r>
                      <a:rPr lang="en-AU" sz="1400" b="0" i="1">
                        <a:latin typeface="Cambria Math" panose="02040503050406030204" pitchFamily="18" charset="0"/>
                      </a:rPr>
                      <m:t>𝐸𝑎𝑟𝑛𝑒𝑑</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panose="02040503050406030204" pitchFamily="18" charset="0"/>
                          </a:rPr>
                          <m:t>𝐸𝐵𝐼𝑇</m:t>
                        </m:r>
                      </m:num>
                      <m:den>
                        <m:r>
                          <a:rPr lang="en-AU" sz="1400" b="0" i="1">
                            <a:latin typeface="Cambria Math" panose="02040503050406030204" pitchFamily="18" charset="0"/>
                          </a:rPr>
                          <m:t>𝐼𝑛𝑡𝑒𝑟𝑒𝑠𝑡</m:t>
                        </m:r>
                        <m:r>
                          <a:rPr lang="en-AU" sz="1400" b="0" i="1">
                            <a:latin typeface="Cambria Math" panose="02040503050406030204" pitchFamily="18" charset="0"/>
                          </a:rPr>
                          <m:t> </m:t>
                        </m:r>
                        <m:r>
                          <a:rPr lang="en-AU" sz="1400" b="0" i="1">
                            <a:latin typeface="Cambria Math" panose="02040503050406030204" pitchFamily="18" charset="0"/>
                          </a:rPr>
                          <m:t>𝐸𝑥𝑝𝑒𝑛𝑠𝑒</m:t>
                        </m:r>
                      </m:den>
                    </m:f>
                  </m:oMath>
                </m:oMathPara>
              </a14:m>
              <a:endParaRPr lang="en-AU" sz="1400"/>
            </a:p>
          </xdr:txBody>
        </xdr:sp>
      </mc:Choice>
      <mc:Fallback xmlns="">
        <xdr:sp macro="" textlink="">
          <xdr:nvSpPr>
            <xdr:cNvPr id="17" name="TextBox 2">
              <a:extLst>
                <a:ext uri="{FF2B5EF4-FFF2-40B4-BE49-F238E27FC236}">
                  <a16:creationId xmlns:a16="http://schemas.microsoft.com/office/drawing/2014/main" xmlns:a14="http://schemas.microsoft.com/office/drawing/2010/main" xmlns="" id="{00000000-0008-0000-1E00-000010000000}"/>
                </a:ext>
              </a:extLst>
            </xdr:cNvPr>
            <xdr:cNvSpPr txBox="1"/>
          </xdr:nvSpPr>
          <xdr:spPr>
            <a:xfrm>
              <a:off x="9320121" y="13185257"/>
              <a:ext cx="6568809" cy="531940"/>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panose="02040503050406030204" pitchFamily="18" charset="0"/>
                </a:rPr>
                <a:t>𝑇𝑖𝑚𝑒𝑠 𝐼𝑛𝑡𝑒𝑟𝑒𝑠𝑡 𝐸𝑎𝑟𝑛𝑒𝑑</a:t>
              </a:r>
              <a:r>
                <a:rPr lang="en-AU" sz="1400" b="0" i="0">
                  <a:latin typeface="Cambria Math"/>
                </a:rPr>
                <a:t>= </a:t>
              </a:r>
              <a:r>
                <a:rPr lang="en-AU" sz="1400" b="0" i="0">
                  <a:latin typeface="Cambria Math" panose="02040503050406030204" pitchFamily="18" charset="0"/>
                </a:rPr>
                <a:t> 𝐸𝐵𝐼𝑇</a:t>
              </a:r>
              <a:r>
                <a:rPr lang="en-AU" sz="1400" b="0" i="0">
                  <a:latin typeface="Cambria Math"/>
                </a:rPr>
                <a:t>/(</a:t>
              </a:r>
              <a:r>
                <a:rPr lang="en-AU" sz="1400" b="0" i="0">
                  <a:latin typeface="Cambria Math" panose="02040503050406030204" pitchFamily="18" charset="0"/>
                </a:rPr>
                <a:t>𝐼𝑛𝑡𝑒𝑟𝑒𝑠𝑡 𝐸𝑥𝑝𝑒𝑛𝑠𝑒</a:t>
              </a:r>
              <a:r>
                <a:rPr lang="en-AU" sz="1400" b="0" i="0">
                  <a:latin typeface="Cambria Math"/>
                </a:rPr>
                <a:t>)</a:t>
              </a:r>
              <a:endParaRPr lang="en-AU" sz="1400"/>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342720</xdr:colOff>
      <xdr:row>22</xdr:row>
      <xdr:rowOff>138141</xdr:rowOff>
    </xdr:from>
    <xdr:to>
      <xdr:col>21</xdr:col>
      <xdr:colOff>284990</xdr:colOff>
      <xdr:row>33</xdr:row>
      <xdr:rowOff>52913</xdr:rowOff>
    </xdr:to>
    <xdr:pic>
      <xdr:nvPicPr>
        <xdr:cNvPr id="11" name="Picture 10" descr="Restaurant badge Free Vector">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49803" y="5429808"/>
          <a:ext cx="2312937" cy="2359522"/>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6</xdr:row>
          <xdr:rowOff>0</xdr:rowOff>
        </xdr:from>
        <xdr:to>
          <xdr:col>4</xdr:col>
          <xdr:colOff>561975</xdr:colOff>
          <xdr:row>6</xdr:row>
          <xdr:rowOff>180975</xdr:rowOff>
        </xdr:to>
        <xdr:sp macro="" textlink="">
          <xdr:nvSpPr>
            <xdr:cNvPr id="11265" name="Scroll Bar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38100</xdr:rowOff>
        </xdr:from>
        <xdr:to>
          <xdr:col>4</xdr:col>
          <xdr:colOff>561975</xdr:colOff>
          <xdr:row>14</xdr:row>
          <xdr:rowOff>219075</xdr:rowOff>
        </xdr:to>
        <xdr:sp macro="" textlink="">
          <xdr:nvSpPr>
            <xdr:cNvPr id="11266" name="Scroll Bar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19050</xdr:rowOff>
        </xdr:from>
        <xdr:to>
          <xdr:col>4</xdr:col>
          <xdr:colOff>561975</xdr:colOff>
          <xdr:row>25</xdr:row>
          <xdr:rowOff>190500</xdr:rowOff>
        </xdr:to>
        <xdr:sp macro="" textlink="">
          <xdr:nvSpPr>
            <xdr:cNvPr id="11267" name="Scroll Bar 3" hidden="1">
              <a:extLst>
                <a:ext uri="{63B3BB69-23CF-44E3-9099-C40C66FF867C}">
                  <a14:compatExt spid="_x0000_s11267"/>
                </a:ext>
                <a:ext uri="{FF2B5EF4-FFF2-40B4-BE49-F238E27FC236}">
                  <a16:creationId xmlns:a16="http://schemas.microsoft.com/office/drawing/2014/main" id="{00000000-0008-0000-0300-00000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32</xdr:row>
          <xdr:rowOff>133350</xdr:rowOff>
        </xdr:from>
        <xdr:to>
          <xdr:col>16</xdr:col>
          <xdr:colOff>9525</xdr:colOff>
          <xdr:row>45</xdr:row>
          <xdr:rowOff>95250</xdr:rowOff>
        </xdr:to>
        <xdr:sp macro="" textlink="">
          <xdr:nvSpPr>
            <xdr:cNvPr id="11268" name="Group Box 4" hidden="1">
              <a:extLst>
                <a:ext uri="{63B3BB69-23CF-44E3-9099-C40C66FF867C}">
                  <a14:compatExt spid="_x0000_s11268"/>
                </a:ext>
                <a:ext uri="{FF2B5EF4-FFF2-40B4-BE49-F238E27FC236}">
                  <a16:creationId xmlns:a16="http://schemas.microsoft.com/office/drawing/2014/main" id="{00000000-0008-0000-0300-000004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32</xdr:row>
          <xdr:rowOff>180975</xdr:rowOff>
        </xdr:from>
        <xdr:to>
          <xdr:col>5</xdr:col>
          <xdr:colOff>962025</xdr:colOff>
          <xdr:row>34</xdr:row>
          <xdr:rowOff>0</xdr:rowOff>
        </xdr:to>
        <xdr:sp macro="" textlink="">
          <xdr:nvSpPr>
            <xdr:cNvPr id="11269" name="Option Button 5" hidden="1">
              <a:extLst>
                <a:ext uri="{63B3BB69-23CF-44E3-9099-C40C66FF867C}">
                  <a14:compatExt spid="_x0000_s11269"/>
                </a:ext>
                <a:ext uri="{FF2B5EF4-FFF2-40B4-BE49-F238E27FC236}">
                  <a16:creationId xmlns:a16="http://schemas.microsoft.com/office/drawing/2014/main" id="{00000000-0008-0000-03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Kitchens R Us Pty Ltd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32</xdr:row>
          <xdr:rowOff>180975</xdr:rowOff>
        </xdr:from>
        <xdr:to>
          <xdr:col>8</xdr:col>
          <xdr:colOff>1047750</xdr:colOff>
          <xdr:row>34</xdr:row>
          <xdr:rowOff>0</xdr:rowOff>
        </xdr:to>
        <xdr:sp macro="" textlink="">
          <xdr:nvSpPr>
            <xdr:cNvPr id="11270" name="Option Button 6" descr="Aussie Cooktops &amp; Catering PLC" hidden="1">
              <a:extLst>
                <a:ext uri="{63B3BB69-23CF-44E3-9099-C40C66FF867C}">
                  <a14:compatExt spid="_x0000_s11270"/>
                </a:ext>
                <a:ext uri="{FF2B5EF4-FFF2-40B4-BE49-F238E27FC236}">
                  <a16:creationId xmlns:a16="http://schemas.microsoft.com/office/drawing/2014/main" id="{00000000-0008-0000-03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Aussie Cooktops &amp; Catering PLC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32</xdr:row>
          <xdr:rowOff>180975</xdr:rowOff>
        </xdr:from>
        <xdr:to>
          <xdr:col>11</xdr:col>
          <xdr:colOff>838200</xdr:colOff>
          <xdr:row>34</xdr:row>
          <xdr:rowOff>0</xdr:rowOff>
        </xdr:to>
        <xdr:sp macro="" textlink="">
          <xdr:nvSpPr>
            <xdr:cNvPr id="11271" name="Option Button 7" hidden="1">
              <a:extLst>
                <a:ext uri="{63B3BB69-23CF-44E3-9099-C40C66FF867C}">
                  <a14:compatExt spid="_x0000_s11271"/>
                </a:ext>
                <a:ext uri="{FF2B5EF4-FFF2-40B4-BE49-F238E27FC236}">
                  <a16:creationId xmlns:a16="http://schemas.microsoft.com/office/drawing/2014/main" id="{00000000-0008-0000-03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Industrial Scale LLC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32</xdr:row>
          <xdr:rowOff>180975</xdr:rowOff>
        </xdr:from>
        <xdr:to>
          <xdr:col>16</xdr:col>
          <xdr:colOff>9525</xdr:colOff>
          <xdr:row>34</xdr:row>
          <xdr:rowOff>0</xdr:rowOff>
        </xdr:to>
        <xdr:sp macro="" textlink="">
          <xdr:nvSpPr>
            <xdr:cNvPr id="11273" name="Option Button 9" hidden="1">
              <a:extLst>
                <a:ext uri="{63B3BB69-23CF-44E3-9099-C40C66FF867C}">
                  <a14:compatExt spid="_x0000_s11273"/>
                </a:ext>
                <a:ext uri="{FF2B5EF4-FFF2-40B4-BE49-F238E27FC236}">
                  <a16:creationId xmlns:a16="http://schemas.microsoft.com/office/drawing/2014/main" id="{00000000-0008-0000-03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Dapur Komersial Sdn Bhd</a:t>
              </a:r>
            </a:p>
          </xdr:txBody>
        </xdr:sp>
        <xdr:clientData/>
      </xdr:twoCellAnchor>
    </mc:Choice>
    <mc:Fallback/>
  </mc:AlternateContent>
  <xdr:twoCellAnchor editAs="oneCell">
    <xdr:from>
      <xdr:col>18</xdr:col>
      <xdr:colOff>437922</xdr:colOff>
      <xdr:row>34</xdr:row>
      <xdr:rowOff>113714</xdr:rowOff>
    </xdr:from>
    <xdr:to>
      <xdr:col>24</xdr:col>
      <xdr:colOff>436456</xdr:colOff>
      <xdr:row>45</xdr:row>
      <xdr:rowOff>309</xdr:rowOff>
    </xdr:to>
    <xdr:pic>
      <xdr:nvPicPr>
        <xdr:cNvPr id="10" name="Picture 9" descr="Kitchen in restaurant empty interior with supplies Free Vector">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78170" y="7801147"/>
          <a:ext cx="3886521" cy="1959699"/>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xdr:from>
      <xdr:col>17</xdr:col>
      <xdr:colOff>264580</xdr:colOff>
      <xdr:row>7</xdr:row>
      <xdr:rowOff>74083</xdr:rowOff>
    </xdr:from>
    <xdr:to>
      <xdr:col>23</xdr:col>
      <xdr:colOff>488302</xdr:colOff>
      <xdr:row>21</xdr:row>
      <xdr:rowOff>7339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212037</xdr:rowOff>
    </xdr:from>
    <xdr:to>
      <xdr:col>12</xdr:col>
      <xdr:colOff>144985</xdr:colOff>
      <xdr:row>0</xdr:row>
      <xdr:rowOff>646228</xdr:rowOff>
    </xdr:to>
    <xdr:pic>
      <xdr:nvPicPr>
        <xdr:cNvPr id="13" name="Picture 12" descr="C:\Users\mwyeoh\Dropbox\..VisualFrontier Projects\Images\Curtin\CurtinHeader.png">
          <a:extLst>
            <a:ext uri="{FF2B5EF4-FFF2-40B4-BE49-F238E27FC236}">
              <a16:creationId xmlns:a16="http://schemas.microsoft.com/office/drawing/2014/main" id="{00000000-0008-0000-0300-00000D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12037"/>
          <a:ext cx="9144736" cy="434191"/>
        </a:xfrm>
        <a:prstGeom prst="rect">
          <a:avLst/>
        </a:prstGeom>
        <a:noFill/>
        <a:ln>
          <a:noFill/>
        </a:ln>
      </xdr:spPr>
    </xdr:pic>
    <xdr:clientData/>
  </xdr:twoCellAnchor>
  <xdr:oneCellAnchor>
    <xdr:from>
      <xdr:col>2</xdr:col>
      <xdr:colOff>325822</xdr:colOff>
      <xdr:row>0</xdr:row>
      <xdr:rowOff>123761</xdr:rowOff>
    </xdr:from>
    <xdr:ext cx="3320011" cy="530658"/>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1620548" y="123761"/>
          <a:ext cx="332001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BUSINESS DECISIONS</a:t>
          </a:r>
        </a:p>
      </xdr:txBody>
    </xdr:sp>
    <xdr:clientData/>
  </xdr:oneCellAnchor>
  <xdr:twoCellAnchor editAs="oneCell">
    <xdr:from>
      <xdr:col>9</xdr:col>
      <xdr:colOff>66645</xdr:colOff>
      <xdr:row>0</xdr:row>
      <xdr:rowOff>712706</xdr:rowOff>
    </xdr:from>
    <xdr:to>
      <xdr:col>13</xdr:col>
      <xdr:colOff>20765</xdr:colOff>
      <xdr:row>0</xdr:row>
      <xdr:rowOff>933612</xdr:rowOff>
    </xdr:to>
    <xdr:pic>
      <xdr:nvPicPr>
        <xdr:cNvPr id="17" name="Picture 16" descr="C:\Users\mwyeoh\Dropbox\..VisualFrontier Projects\Images\Curtin\curtinbusiness.png">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78196" y="712706"/>
          <a:ext cx="2177999" cy="217096"/>
        </a:xfrm>
        <a:prstGeom prst="rect">
          <a:avLst/>
        </a:prstGeom>
        <a:noFill/>
        <a:ln>
          <a:noFill/>
        </a:ln>
      </xdr:spPr>
    </xdr:pic>
    <xdr:clientData/>
  </xdr:twoCellAnchor>
  <xdr:twoCellAnchor>
    <xdr:from>
      <xdr:col>9</xdr:col>
      <xdr:colOff>139694</xdr:colOff>
      <xdr:row>0</xdr:row>
      <xdr:rowOff>675923</xdr:rowOff>
    </xdr:from>
    <xdr:to>
      <xdr:col>13</xdr:col>
      <xdr:colOff>357468</xdr:colOff>
      <xdr:row>0</xdr:row>
      <xdr:rowOff>910167</xdr:rowOff>
    </xdr:to>
    <xdr:sp macro="" textlink="">
      <xdr:nvSpPr>
        <xdr:cNvPr id="18" name="TextBox 6">
          <a:extLst>
            <a:ext uri="{FF2B5EF4-FFF2-40B4-BE49-F238E27FC236}">
              <a16:creationId xmlns:a16="http://schemas.microsoft.com/office/drawing/2014/main" id="{00000000-0008-0000-0300-000012000000}"/>
            </a:ext>
          </a:extLst>
        </xdr:cNvPr>
        <xdr:cNvSpPr txBox="1"/>
      </xdr:nvSpPr>
      <xdr:spPr>
        <a:xfrm>
          <a:off x="6468527" y="675923"/>
          <a:ext cx="2260358" cy="23424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533400</xdr:colOff>
          <xdr:row>2</xdr:row>
          <xdr:rowOff>85725</xdr:rowOff>
        </xdr:from>
        <xdr:to>
          <xdr:col>11</xdr:col>
          <xdr:colOff>200025</xdr:colOff>
          <xdr:row>15</xdr:row>
          <xdr:rowOff>123825</xdr:rowOff>
        </xdr:to>
        <xdr:sp macro="" textlink="">
          <xdr:nvSpPr>
            <xdr:cNvPr id="79873" name="Group Box 1" hidden="1">
              <a:extLst>
                <a:ext uri="{63B3BB69-23CF-44E3-9099-C40C66FF867C}">
                  <a14:compatExt spid="_x0000_s79873"/>
                </a:ext>
                <a:ext uri="{FF2B5EF4-FFF2-40B4-BE49-F238E27FC236}">
                  <a16:creationId xmlns:a16="http://schemas.microsoft.com/office/drawing/2014/main" id="{00000000-0008-0000-0400-000001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590550</xdr:colOff>
          <xdr:row>8</xdr:row>
          <xdr:rowOff>28575</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04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Children/ Young Families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171450</xdr:rowOff>
        </xdr:from>
        <xdr:to>
          <xdr:col>2</xdr:col>
          <xdr:colOff>619125</xdr:colOff>
          <xdr:row>10</xdr:row>
          <xdr:rowOff>19050</xdr:rowOff>
        </xdr:to>
        <xdr:sp macro="" textlink="">
          <xdr:nvSpPr>
            <xdr:cNvPr id="79875" name="Option Button 3" hidden="1">
              <a:extLst>
                <a:ext uri="{63B3BB69-23CF-44E3-9099-C40C66FF867C}">
                  <a14:compatExt spid="_x0000_s79875"/>
                </a:ext>
                <a:ext uri="{FF2B5EF4-FFF2-40B4-BE49-F238E27FC236}">
                  <a16:creationId xmlns:a16="http://schemas.microsoft.com/office/drawing/2014/main" id="{00000000-0008-0000-04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Teenagers/Young Adults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171450</xdr:rowOff>
        </xdr:from>
        <xdr:to>
          <xdr:col>2</xdr:col>
          <xdr:colOff>609600</xdr:colOff>
          <xdr:row>12</xdr:row>
          <xdr:rowOff>19050</xdr:rowOff>
        </xdr:to>
        <xdr:sp macro="" textlink="">
          <xdr:nvSpPr>
            <xdr:cNvPr id="79876" name="Option Button 4" hidden="1">
              <a:extLst>
                <a:ext uri="{63B3BB69-23CF-44E3-9099-C40C66FF867C}">
                  <a14:compatExt spid="_x0000_s79876"/>
                </a:ext>
                <a:ext uri="{FF2B5EF4-FFF2-40B4-BE49-F238E27FC236}">
                  <a16:creationId xmlns:a16="http://schemas.microsoft.com/office/drawing/2014/main" id="{00000000-0008-0000-04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Professionals/Working Adults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171450</xdr:rowOff>
        </xdr:from>
        <xdr:to>
          <xdr:col>2</xdr:col>
          <xdr:colOff>552450</xdr:colOff>
          <xdr:row>14</xdr:row>
          <xdr:rowOff>19050</xdr:rowOff>
        </xdr:to>
        <xdr:sp macro="" textlink="">
          <xdr:nvSpPr>
            <xdr:cNvPr id="79877" name="Option Button 5" hidden="1">
              <a:extLst>
                <a:ext uri="{63B3BB69-23CF-44E3-9099-C40C66FF867C}">
                  <a14:compatExt spid="_x0000_s79877"/>
                </a:ext>
                <a:ext uri="{FF2B5EF4-FFF2-40B4-BE49-F238E27FC236}">
                  <a16:creationId xmlns:a16="http://schemas.microsoft.com/office/drawing/2014/main" id="{00000000-0008-0000-04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 Focus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19050</xdr:rowOff>
        </xdr:from>
        <xdr:to>
          <xdr:col>5</xdr:col>
          <xdr:colOff>561975</xdr:colOff>
          <xdr:row>24</xdr:row>
          <xdr:rowOff>180975</xdr:rowOff>
        </xdr:to>
        <xdr:sp macro="" textlink="">
          <xdr:nvSpPr>
            <xdr:cNvPr id="79878" name="Scroll Bar 6" hidden="1">
              <a:extLst>
                <a:ext uri="{63B3BB69-23CF-44E3-9099-C40C66FF867C}">
                  <a14:compatExt spid="_x0000_s79878"/>
                </a:ext>
                <a:ext uri="{FF2B5EF4-FFF2-40B4-BE49-F238E27FC236}">
                  <a16:creationId xmlns:a16="http://schemas.microsoft.com/office/drawing/2014/main" id="{00000000-0008-0000-0400-0000063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xdr:row>
          <xdr:rowOff>19050</xdr:rowOff>
        </xdr:from>
        <xdr:to>
          <xdr:col>5</xdr:col>
          <xdr:colOff>552450</xdr:colOff>
          <xdr:row>28</xdr:row>
          <xdr:rowOff>0</xdr:rowOff>
        </xdr:to>
        <xdr:sp macro="" textlink="">
          <xdr:nvSpPr>
            <xdr:cNvPr id="79879" name="Scroll Bar 7" hidden="1">
              <a:extLst>
                <a:ext uri="{63B3BB69-23CF-44E3-9099-C40C66FF867C}">
                  <a14:compatExt spid="_x0000_s79879"/>
                </a:ext>
                <a:ext uri="{FF2B5EF4-FFF2-40B4-BE49-F238E27FC236}">
                  <a16:creationId xmlns:a16="http://schemas.microsoft.com/office/drawing/2014/main" id="{00000000-0008-0000-0400-0000073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19050</xdr:rowOff>
        </xdr:from>
        <xdr:to>
          <xdr:col>5</xdr:col>
          <xdr:colOff>561975</xdr:colOff>
          <xdr:row>35</xdr:row>
          <xdr:rowOff>180975</xdr:rowOff>
        </xdr:to>
        <xdr:sp macro="" textlink="">
          <xdr:nvSpPr>
            <xdr:cNvPr id="79880" name="Scroll Bar 8" hidden="1">
              <a:extLst>
                <a:ext uri="{63B3BB69-23CF-44E3-9099-C40C66FF867C}">
                  <a14:compatExt spid="_x0000_s79880"/>
                </a:ext>
                <a:ext uri="{FF2B5EF4-FFF2-40B4-BE49-F238E27FC236}">
                  <a16:creationId xmlns:a16="http://schemas.microsoft.com/office/drawing/2014/main" id="{00000000-0008-0000-0400-0000083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38</xdr:row>
          <xdr:rowOff>19050</xdr:rowOff>
        </xdr:from>
        <xdr:to>
          <xdr:col>5</xdr:col>
          <xdr:colOff>552450</xdr:colOff>
          <xdr:row>39</xdr:row>
          <xdr:rowOff>0</xdr:rowOff>
        </xdr:to>
        <xdr:sp macro="" textlink="">
          <xdr:nvSpPr>
            <xdr:cNvPr id="79881" name="Scroll Bar 9" hidden="1">
              <a:extLst>
                <a:ext uri="{63B3BB69-23CF-44E3-9099-C40C66FF867C}">
                  <a14:compatExt spid="_x0000_s79881"/>
                </a:ext>
                <a:ext uri="{FF2B5EF4-FFF2-40B4-BE49-F238E27FC236}">
                  <a16:creationId xmlns:a16="http://schemas.microsoft.com/office/drawing/2014/main" id="{00000000-0008-0000-0400-0000093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19050</xdr:rowOff>
        </xdr:from>
        <xdr:to>
          <xdr:col>5</xdr:col>
          <xdr:colOff>552450</xdr:colOff>
          <xdr:row>47</xdr:row>
          <xdr:rowOff>0</xdr:rowOff>
        </xdr:to>
        <xdr:sp macro="" textlink="">
          <xdr:nvSpPr>
            <xdr:cNvPr id="79882" name="Scroll Bar 10" hidden="1">
              <a:extLst>
                <a:ext uri="{63B3BB69-23CF-44E3-9099-C40C66FF867C}">
                  <a14:compatExt spid="_x0000_s79882"/>
                </a:ext>
                <a:ext uri="{FF2B5EF4-FFF2-40B4-BE49-F238E27FC236}">
                  <a16:creationId xmlns:a16="http://schemas.microsoft.com/office/drawing/2014/main" id="{00000000-0008-0000-0400-00000A3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52</xdr:row>
          <xdr:rowOff>19050</xdr:rowOff>
        </xdr:from>
        <xdr:to>
          <xdr:col>5</xdr:col>
          <xdr:colOff>552450</xdr:colOff>
          <xdr:row>53</xdr:row>
          <xdr:rowOff>0</xdr:rowOff>
        </xdr:to>
        <xdr:sp macro="" textlink="">
          <xdr:nvSpPr>
            <xdr:cNvPr id="79883" name="Scroll Bar 11" hidden="1">
              <a:extLst>
                <a:ext uri="{63B3BB69-23CF-44E3-9099-C40C66FF867C}">
                  <a14:compatExt spid="_x0000_s79883"/>
                </a:ext>
                <a:ext uri="{FF2B5EF4-FFF2-40B4-BE49-F238E27FC236}">
                  <a16:creationId xmlns:a16="http://schemas.microsoft.com/office/drawing/2014/main" id="{00000000-0008-0000-0400-00000B3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58</xdr:row>
          <xdr:rowOff>19050</xdr:rowOff>
        </xdr:from>
        <xdr:to>
          <xdr:col>5</xdr:col>
          <xdr:colOff>552450</xdr:colOff>
          <xdr:row>59</xdr:row>
          <xdr:rowOff>0</xdr:rowOff>
        </xdr:to>
        <xdr:sp macro="" textlink="">
          <xdr:nvSpPr>
            <xdr:cNvPr id="79885" name="Scroll Bar 13" hidden="1">
              <a:extLst>
                <a:ext uri="{63B3BB69-23CF-44E3-9099-C40C66FF867C}">
                  <a14:compatExt spid="_x0000_s79885"/>
                </a:ext>
                <a:ext uri="{FF2B5EF4-FFF2-40B4-BE49-F238E27FC236}">
                  <a16:creationId xmlns:a16="http://schemas.microsoft.com/office/drawing/2014/main" id="{00000000-0008-0000-0400-00000D3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238515</xdr:colOff>
      <xdr:row>3</xdr:row>
      <xdr:rowOff>12296</xdr:rowOff>
    </xdr:from>
    <xdr:to>
      <xdr:col>17</xdr:col>
      <xdr:colOff>405489</xdr:colOff>
      <xdr:row>17</xdr:row>
      <xdr:rowOff>107596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35015" y="1307696"/>
          <a:ext cx="3119724" cy="2800400"/>
        </a:xfrm>
        <a:prstGeom prst="rect">
          <a:avLst/>
        </a:prstGeom>
      </xdr:spPr>
    </xdr:pic>
    <xdr:clientData/>
  </xdr:twoCellAnchor>
  <xdr:twoCellAnchor editAs="oneCell">
    <xdr:from>
      <xdr:col>0</xdr:col>
      <xdr:colOff>47625</xdr:colOff>
      <xdr:row>0</xdr:row>
      <xdr:rowOff>88276</xdr:rowOff>
    </xdr:from>
    <xdr:to>
      <xdr:col>10</xdr:col>
      <xdr:colOff>1653941</xdr:colOff>
      <xdr:row>0</xdr:row>
      <xdr:rowOff>485775</xdr:rowOff>
    </xdr:to>
    <xdr:pic>
      <xdr:nvPicPr>
        <xdr:cNvPr id="15" name="Picture 14" descr="C:\Users\mwyeoh\Dropbox\..VisualFrontier Projects\Images\Curtin\CurtinHeader.png">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88276"/>
          <a:ext cx="8397641" cy="397499"/>
        </a:xfrm>
        <a:prstGeom prst="rect">
          <a:avLst/>
        </a:prstGeom>
        <a:noFill/>
        <a:ln>
          <a:noFill/>
        </a:ln>
      </xdr:spPr>
    </xdr:pic>
    <xdr:clientData/>
  </xdr:twoCellAnchor>
  <xdr:oneCellAnchor>
    <xdr:from>
      <xdr:col>2</xdr:col>
      <xdr:colOff>64346</xdr:colOff>
      <xdr:row>0</xdr:row>
      <xdr:rowOff>0</xdr:rowOff>
    </xdr:from>
    <xdr:ext cx="3842975" cy="530658"/>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1559771" y="0"/>
          <a:ext cx="384297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Marketing</a:t>
          </a:r>
          <a:r>
            <a:rPr lang="en-AU" sz="2800" b="1" baseline="0"/>
            <a:t> &amp; Advertising</a:t>
          </a:r>
          <a:endParaRPr lang="en-AU" sz="2800" b="1"/>
        </a:p>
      </xdr:txBody>
    </xdr:sp>
    <xdr:clientData/>
  </xdr:oneCellAnchor>
  <xdr:twoCellAnchor editAs="oneCell">
    <xdr:from>
      <xdr:col>9</xdr:col>
      <xdr:colOff>76200</xdr:colOff>
      <xdr:row>0</xdr:row>
      <xdr:rowOff>585246</xdr:rowOff>
    </xdr:from>
    <xdr:to>
      <xdr:col>10</xdr:col>
      <xdr:colOff>1657350</xdr:colOff>
      <xdr:row>0</xdr:row>
      <xdr:rowOff>781050</xdr:rowOff>
    </xdr:to>
    <xdr:pic>
      <xdr:nvPicPr>
        <xdr:cNvPr id="17" name="Picture 16" descr="C:\Users\mwyeoh\Dropbox\..VisualFrontier Projects\Images\Curtin\curtinbusiness.png">
          <a:extLst>
            <a:ext uri="{FF2B5EF4-FFF2-40B4-BE49-F238E27FC236}">
              <a16:creationId xmlns:a16="http://schemas.microsoft.com/office/drawing/2014/main" id="{00000000-0008-0000-0400-000011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6975" y="585246"/>
          <a:ext cx="2171700" cy="195804"/>
        </a:xfrm>
        <a:prstGeom prst="rect">
          <a:avLst/>
        </a:prstGeom>
        <a:noFill/>
        <a:ln>
          <a:noFill/>
        </a:ln>
      </xdr:spPr>
    </xdr:pic>
    <xdr:clientData/>
  </xdr:twoCellAnchor>
  <xdr:twoCellAnchor>
    <xdr:from>
      <xdr:col>9</xdr:col>
      <xdr:colOff>264063</xdr:colOff>
      <xdr:row>0</xdr:row>
      <xdr:rowOff>548461</xdr:rowOff>
    </xdr:from>
    <xdr:to>
      <xdr:col>12</xdr:col>
      <xdr:colOff>333375</xdr:colOff>
      <xdr:row>0</xdr:row>
      <xdr:rowOff>828666</xdr:rowOff>
    </xdr:to>
    <xdr:sp macro="" textlink="">
      <xdr:nvSpPr>
        <xdr:cNvPr id="18" name="TextBox 6">
          <a:extLst>
            <a:ext uri="{FF2B5EF4-FFF2-40B4-BE49-F238E27FC236}">
              <a16:creationId xmlns:a16="http://schemas.microsoft.com/office/drawing/2014/main" id="{00000000-0008-0000-0400-000012000000}"/>
            </a:ext>
          </a:extLst>
        </xdr:cNvPr>
        <xdr:cNvSpPr txBox="1"/>
      </xdr:nvSpPr>
      <xdr:spPr>
        <a:xfrm>
          <a:off x="6464838" y="548461"/>
          <a:ext cx="3965037"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561975</xdr:colOff>
          <xdr:row>2</xdr:row>
          <xdr:rowOff>133350</xdr:rowOff>
        </xdr:from>
        <xdr:to>
          <xdr:col>11</xdr:col>
          <xdr:colOff>180975</xdr:colOff>
          <xdr:row>10</xdr:row>
          <xdr:rowOff>152400</xdr:rowOff>
        </xdr:to>
        <xdr:sp macro="" textlink="">
          <xdr:nvSpPr>
            <xdr:cNvPr id="35841" name="Group Box 1" hidden="1">
              <a:extLst>
                <a:ext uri="{63B3BB69-23CF-44E3-9099-C40C66FF867C}">
                  <a14:compatExt spid="_x0000_s35841"/>
                </a:ext>
                <a:ext uri="{FF2B5EF4-FFF2-40B4-BE49-F238E27FC236}">
                  <a16:creationId xmlns:a16="http://schemas.microsoft.com/office/drawing/2014/main" id="{00000000-0008-0000-0500-00000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171450</xdr:rowOff>
        </xdr:from>
        <xdr:to>
          <xdr:col>2</xdr:col>
          <xdr:colOff>876300</xdr:colOff>
          <xdr:row>8</xdr:row>
          <xdr:rowOff>19050</xdr:rowOff>
        </xdr:to>
        <xdr:sp macro="" textlink="">
          <xdr:nvSpPr>
            <xdr:cNvPr id="35842" name="Option Button 2" hidden="1">
              <a:extLst>
                <a:ext uri="{63B3BB69-23CF-44E3-9099-C40C66FF867C}">
                  <a14:compatExt spid="_x0000_s35842"/>
                </a:ext>
                <a:ext uri="{FF2B5EF4-FFF2-40B4-BE49-F238E27FC236}">
                  <a16:creationId xmlns:a16="http://schemas.microsoft.com/office/drawing/2014/main" id="{00000000-0008-0000-05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Invest in a Cool 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xdr:row>
          <xdr:rowOff>0</xdr:rowOff>
        </xdr:from>
        <xdr:to>
          <xdr:col>2</xdr:col>
          <xdr:colOff>876300</xdr:colOff>
          <xdr:row>10</xdr:row>
          <xdr:rowOff>28575</xdr:rowOff>
        </xdr:to>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5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Don’t invest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11</xdr:row>
          <xdr:rowOff>123825</xdr:rowOff>
        </xdr:from>
        <xdr:to>
          <xdr:col>11</xdr:col>
          <xdr:colOff>171450</xdr:colOff>
          <xdr:row>22</xdr:row>
          <xdr:rowOff>76200</xdr:rowOff>
        </xdr:to>
        <xdr:sp macro="" textlink="">
          <xdr:nvSpPr>
            <xdr:cNvPr id="35844" name="Group Box 4" hidden="1">
              <a:extLst>
                <a:ext uri="{63B3BB69-23CF-44E3-9099-C40C66FF867C}">
                  <a14:compatExt spid="_x0000_s35844"/>
                </a:ext>
                <a:ext uri="{FF2B5EF4-FFF2-40B4-BE49-F238E27FC236}">
                  <a16:creationId xmlns:a16="http://schemas.microsoft.com/office/drawing/2014/main" id="{00000000-0008-0000-0500-000004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171450</xdr:rowOff>
        </xdr:from>
        <xdr:to>
          <xdr:col>2</xdr:col>
          <xdr:colOff>828675</xdr:colOff>
          <xdr:row>17</xdr:row>
          <xdr:rowOff>19050</xdr:rowOff>
        </xdr:to>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5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Small Display Cabinets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76200</xdr:rowOff>
        </xdr:from>
        <xdr:to>
          <xdr:col>2</xdr:col>
          <xdr:colOff>828675</xdr:colOff>
          <xdr:row>19</xdr:row>
          <xdr:rowOff>28575</xdr:rowOff>
        </xdr:to>
        <xdr:sp macro="" textlink="">
          <xdr:nvSpPr>
            <xdr:cNvPr id="35846" name="Option Button 6" hidden="1">
              <a:extLst>
                <a:ext uri="{63B3BB69-23CF-44E3-9099-C40C66FF867C}">
                  <a14:compatExt spid="_x0000_s35846"/>
                </a:ext>
                <a:ext uri="{FF2B5EF4-FFF2-40B4-BE49-F238E27FC236}">
                  <a16:creationId xmlns:a16="http://schemas.microsoft.com/office/drawing/2014/main" id="{00000000-0008-0000-05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Medium Display Cabinets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76200</xdr:rowOff>
        </xdr:from>
        <xdr:to>
          <xdr:col>2</xdr:col>
          <xdr:colOff>828675</xdr:colOff>
          <xdr:row>21</xdr:row>
          <xdr:rowOff>28575</xdr:rowOff>
        </xdr:to>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5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Large Display Cabinets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23</xdr:row>
          <xdr:rowOff>95250</xdr:rowOff>
        </xdr:from>
        <xdr:to>
          <xdr:col>11</xdr:col>
          <xdr:colOff>161925</xdr:colOff>
          <xdr:row>39</xdr:row>
          <xdr:rowOff>38100</xdr:rowOff>
        </xdr:to>
        <xdr:sp macro="" textlink="">
          <xdr:nvSpPr>
            <xdr:cNvPr id="35848" name="Group Box 8" hidden="1">
              <a:extLst>
                <a:ext uri="{63B3BB69-23CF-44E3-9099-C40C66FF867C}">
                  <a14:compatExt spid="_x0000_s35848"/>
                </a:ext>
                <a:ext uri="{FF2B5EF4-FFF2-40B4-BE49-F238E27FC236}">
                  <a16:creationId xmlns:a16="http://schemas.microsoft.com/office/drawing/2014/main" id="{00000000-0008-0000-0500-000008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2</xdr:col>
          <xdr:colOff>942975</xdr:colOff>
          <xdr:row>26</xdr:row>
          <xdr:rowOff>19050</xdr:rowOff>
        </xdr:to>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5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No Delivery Service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3</xdr:col>
          <xdr:colOff>276225</xdr:colOff>
          <xdr:row>28</xdr:row>
          <xdr:rowOff>28575</xdr:rowOff>
        </xdr:to>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5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In-house Delivery Service - Company Car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0</xdr:rowOff>
        </xdr:from>
        <xdr:to>
          <xdr:col>3</xdr:col>
          <xdr:colOff>485775</xdr:colOff>
          <xdr:row>32</xdr:row>
          <xdr:rowOff>28575</xdr:rowOff>
        </xdr:to>
        <xdr:sp macro="" textlink="">
          <xdr:nvSpPr>
            <xdr:cNvPr id="35852" name="Option Button 12" hidden="1">
              <a:extLst>
                <a:ext uri="{63B3BB69-23CF-44E3-9099-C40C66FF867C}">
                  <a14:compatExt spid="_x0000_s35852"/>
                </a:ext>
                <a:ext uri="{FF2B5EF4-FFF2-40B4-BE49-F238E27FC236}">
                  <a16:creationId xmlns:a16="http://schemas.microsoft.com/office/drawing/2014/main" id="{00000000-0008-0000-05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In-house Delivery Service - Driver's Private Car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942975</xdr:colOff>
          <xdr:row>36</xdr:row>
          <xdr:rowOff>28575</xdr:rowOff>
        </xdr:to>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5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Contract to a Delivery Service</a:t>
              </a:r>
            </a:p>
          </xdr:txBody>
        </xdr:sp>
        <xdr:clientData/>
      </xdr:twoCellAnchor>
    </mc:Choice>
    <mc:Fallback/>
  </mc:AlternateContent>
  <xdr:twoCellAnchor editAs="oneCell">
    <xdr:from>
      <xdr:col>15</xdr:col>
      <xdr:colOff>220547</xdr:colOff>
      <xdr:row>12</xdr:row>
      <xdr:rowOff>154825</xdr:rowOff>
    </xdr:from>
    <xdr:to>
      <xdr:col>21</xdr:col>
      <xdr:colOff>409938</xdr:colOff>
      <xdr:row>29</xdr:row>
      <xdr:rowOff>180879</xdr:rowOff>
    </xdr:to>
    <xdr:pic>
      <xdr:nvPicPr>
        <xdr:cNvPr id="15" name="Picture 14" descr="https://sc01.alicdn.com/kf/HTB1mMJMKFXXXXbLXpXXq6xXFXXXT.jpg">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6359" y="3067958"/>
          <a:ext cx="4111647" cy="2843986"/>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372867</xdr:colOff>
      <xdr:row>2</xdr:row>
      <xdr:rowOff>125876</xdr:rowOff>
    </xdr:from>
    <xdr:to>
      <xdr:col>18</xdr:col>
      <xdr:colOff>399841</xdr:colOff>
      <xdr:row>14</xdr:row>
      <xdr:rowOff>104220</xdr:rowOff>
    </xdr:to>
    <xdr:pic>
      <xdr:nvPicPr>
        <xdr:cNvPr id="16" name="Picture 15" descr="https://glamox.icdn.no/media/upload/2016/01/21/cold_storage_freezing_rooms3.jpg">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50029" y="1230201"/>
          <a:ext cx="3911150" cy="2167953"/>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xdr:twoCellAnchor editAs="oneCell">
    <xdr:from>
      <xdr:col>12</xdr:col>
      <xdr:colOff>433689</xdr:colOff>
      <xdr:row>24</xdr:row>
      <xdr:rowOff>87268</xdr:rowOff>
    </xdr:from>
    <xdr:to>
      <xdr:col>16</xdr:col>
      <xdr:colOff>165043</xdr:colOff>
      <xdr:row>36</xdr:row>
      <xdr:rowOff>115828</xdr:rowOff>
    </xdr:to>
    <xdr:pic>
      <xdr:nvPicPr>
        <xdr:cNvPr id="17" name="Picture 16" descr="Hand drawn food delivery man Free Vector">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77413" y="4971049"/>
          <a:ext cx="2320804" cy="232289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0</xdr:row>
      <xdr:rowOff>88276</xdr:rowOff>
    </xdr:from>
    <xdr:to>
      <xdr:col>10</xdr:col>
      <xdr:colOff>1749191</xdr:colOff>
      <xdr:row>0</xdr:row>
      <xdr:rowOff>522467</xdr:rowOff>
    </xdr:to>
    <xdr:pic>
      <xdr:nvPicPr>
        <xdr:cNvPr id="18" name="Picture 17" descr="C:\Users\mwyeoh\Dropbox\..VisualFrontier Projects\Images\Curtin\CurtinHeader.png">
          <a:extLst>
            <a:ext uri="{FF2B5EF4-FFF2-40B4-BE49-F238E27FC236}">
              <a16:creationId xmlns:a16="http://schemas.microsoft.com/office/drawing/2014/main" id="{00000000-0008-0000-0500-000012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88276"/>
          <a:ext cx="9144736" cy="434191"/>
        </a:xfrm>
        <a:prstGeom prst="rect">
          <a:avLst/>
        </a:prstGeom>
        <a:noFill/>
        <a:ln>
          <a:noFill/>
        </a:ln>
      </xdr:spPr>
    </xdr:pic>
    <xdr:clientData/>
  </xdr:twoCellAnchor>
  <xdr:oneCellAnchor>
    <xdr:from>
      <xdr:col>2</xdr:col>
      <xdr:colOff>161899</xdr:colOff>
      <xdr:row>0</xdr:row>
      <xdr:rowOff>0</xdr:rowOff>
    </xdr:from>
    <xdr:ext cx="3647858" cy="530658"/>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1456625" y="0"/>
          <a:ext cx="364785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CAPITAL INVESTMENTS</a:t>
          </a:r>
        </a:p>
      </xdr:txBody>
    </xdr:sp>
    <xdr:clientData/>
  </xdr:oneCellAnchor>
  <xdr:twoCellAnchor editAs="oneCell">
    <xdr:from>
      <xdr:col>9</xdr:col>
      <xdr:colOff>323680</xdr:colOff>
      <xdr:row>0</xdr:row>
      <xdr:rowOff>585244</xdr:rowOff>
    </xdr:from>
    <xdr:to>
      <xdr:col>10</xdr:col>
      <xdr:colOff>1751128</xdr:colOff>
      <xdr:row>0</xdr:row>
      <xdr:rowOff>802340</xdr:rowOff>
    </xdr:to>
    <xdr:pic>
      <xdr:nvPicPr>
        <xdr:cNvPr id="22" name="Picture 21" descr="C:\Users\mwyeoh\Dropbox\..VisualFrontier Projects\Images\Curtin\curtinbusiness.png">
          <a:extLst>
            <a:ext uri="{FF2B5EF4-FFF2-40B4-BE49-F238E27FC236}">
              <a16:creationId xmlns:a16="http://schemas.microsoft.com/office/drawing/2014/main" id="{00000000-0008-0000-0500-000016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59149" y="585244"/>
          <a:ext cx="2177999" cy="217096"/>
        </a:xfrm>
        <a:prstGeom prst="rect">
          <a:avLst/>
        </a:prstGeom>
        <a:noFill/>
        <a:ln>
          <a:noFill/>
        </a:ln>
      </xdr:spPr>
    </xdr:pic>
    <xdr:clientData/>
  </xdr:twoCellAnchor>
  <xdr:twoCellAnchor>
    <xdr:from>
      <xdr:col>9</xdr:col>
      <xdr:colOff>425988</xdr:colOff>
      <xdr:row>0</xdr:row>
      <xdr:rowOff>548461</xdr:rowOff>
    </xdr:from>
    <xdr:to>
      <xdr:col>11</xdr:col>
      <xdr:colOff>378788</xdr:colOff>
      <xdr:row>0</xdr:row>
      <xdr:rowOff>828666</xdr:rowOff>
    </xdr:to>
    <xdr:sp macro="" textlink="">
      <xdr:nvSpPr>
        <xdr:cNvPr id="23" name="TextBox 6">
          <a:extLst>
            <a:ext uri="{FF2B5EF4-FFF2-40B4-BE49-F238E27FC236}">
              <a16:creationId xmlns:a16="http://schemas.microsoft.com/office/drawing/2014/main" id="{00000000-0008-0000-0500-000017000000}"/>
            </a:ext>
          </a:extLst>
        </xdr:cNvPr>
        <xdr:cNvSpPr txBox="1"/>
      </xdr:nvSpPr>
      <xdr:spPr>
        <a:xfrm>
          <a:off x="6510782" y="548461"/>
          <a:ext cx="2294830"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8</xdr:row>
          <xdr:rowOff>19050</xdr:rowOff>
        </xdr:from>
        <xdr:to>
          <xdr:col>5</xdr:col>
          <xdr:colOff>304800</xdr:colOff>
          <xdr:row>9</xdr:row>
          <xdr:rowOff>0</xdr:rowOff>
        </xdr:to>
        <xdr:sp macro="" textlink="">
          <xdr:nvSpPr>
            <xdr:cNvPr id="15373" name="Scroll Bar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19050</xdr:rowOff>
        </xdr:from>
        <xdr:to>
          <xdr:col>5</xdr:col>
          <xdr:colOff>304800</xdr:colOff>
          <xdr:row>15</xdr:row>
          <xdr:rowOff>0</xdr:rowOff>
        </xdr:to>
        <xdr:sp macro="" textlink="">
          <xdr:nvSpPr>
            <xdr:cNvPr id="15374" name="Scroll Bar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5</xdr:col>
          <xdr:colOff>285750</xdr:colOff>
          <xdr:row>28</xdr:row>
          <xdr:rowOff>0</xdr:rowOff>
        </xdr:to>
        <xdr:sp macro="" textlink="">
          <xdr:nvSpPr>
            <xdr:cNvPr id="15375" name="Scroll Bar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5</xdr:col>
          <xdr:colOff>304800</xdr:colOff>
          <xdr:row>21</xdr:row>
          <xdr:rowOff>0</xdr:rowOff>
        </xdr:to>
        <xdr:sp macro="" textlink="">
          <xdr:nvSpPr>
            <xdr:cNvPr id="15376" name="Scroll Bar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582440</xdr:colOff>
      <xdr:row>3</xdr:row>
      <xdr:rowOff>114300</xdr:rowOff>
    </xdr:from>
    <xdr:to>
      <xdr:col>18</xdr:col>
      <xdr:colOff>523875</xdr:colOff>
      <xdr:row>10</xdr:row>
      <xdr:rowOff>64100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88276</xdr:rowOff>
    </xdr:from>
    <xdr:to>
      <xdr:col>13</xdr:col>
      <xdr:colOff>59851</xdr:colOff>
      <xdr:row>0</xdr:row>
      <xdr:rowOff>516752</xdr:rowOff>
    </xdr:to>
    <xdr:pic>
      <xdr:nvPicPr>
        <xdr:cNvPr id="8" name="Picture 7" descr="C:\Users\mwyeoh\Dropbox\..VisualFrontier Projects\Images\Curtin\CurtinHeader.png">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8276"/>
          <a:ext cx="9144736" cy="434191"/>
        </a:xfrm>
        <a:prstGeom prst="rect">
          <a:avLst/>
        </a:prstGeom>
        <a:noFill/>
        <a:ln>
          <a:noFill/>
        </a:ln>
      </xdr:spPr>
    </xdr:pic>
    <xdr:clientData/>
  </xdr:twoCellAnchor>
  <xdr:oneCellAnchor>
    <xdr:from>
      <xdr:col>3</xdr:col>
      <xdr:colOff>211093</xdr:colOff>
      <xdr:row>0</xdr:row>
      <xdr:rowOff>0</xdr:rowOff>
    </xdr:from>
    <xdr:ext cx="1886927" cy="530658"/>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2337091" y="0"/>
          <a:ext cx="1886927"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FINANCING</a:t>
          </a:r>
        </a:p>
      </xdr:txBody>
    </xdr:sp>
    <xdr:clientData/>
  </xdr:oneCellAnchor>
  <xdr:twoCellAnchor editAs="oneCell">
    <xdr:from>
      <xdr:col>9</xdr:col>
      <xdr:colOff>456096</xdr:colOff>
      <xdr:row>0</xdr:row>
      <xdr:rowOff>573800</xdr:rowOff>
    </xdr:from>
    <xdr:to>
      <xdr:col>13</xdr:col>
      <xdr:colOff>54169</xdr:colOff>
      <xdr:row>0</xdr:row>
      <xdr:rowOff>779466</xdr:rowOff>
    </xdr:to>
    <xdr:pic>
      <xdr:nvPicPr>
        <xdr:cNvPr id="12" name="Picture 11" descr="C:\Users\mwyeoh\Dropbox\..VisualFrontier Projects\Images\Curtin\curtinbusiness.png">
          <a:extLst>
            <a:ext uri="{FF2B5EF4-FFF2-40B4-BE49-F238E27FC236}">
              <a16:creationId xmlns:a16="http://schemas.microsoft.com/office/drawing/2014/main" id="{00000000-0008-0000-0600-00000C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59150" y="573800"/>
          <a:ext cx="2177999" cy="217096"/>
        </a:xfrm>
        <a:prstGeom prst="rect">
          <a:avLst/>
        </a:prstGeom>
        <a:noFill/>
        <a:ln>
          <a:noFill/>
        </a:ln>
      </xdr:spPr>
    </xdr:pic>
    <xdr:clientData/>
  </xdr:twoCellAnchor>
  <xdr:twoCellAnchor>
    <xdr:from>
      <xdr:col>9</xdr:col>
      <xdr:colOff>536553</xdr:colOff>
      <xdr:row>0</xdr:row>
      <xdr:rowOff>537017</xdr:rowOff>
    </xdr:from>
    <xdr:to>
      <xdr:col>13</xdr:col>
      <xdr:colOff>202170</xdr:colOff>
      <xdr:row>0</xdr:row>
      <xdr:rowOff>817222</xdr:rowOff>
    </xdr:to>
    <xdr:sp macro="" textlink="">
      <xdr:nvSpPr>
        <xdr:cNvPr id="13" name="TextBox 6">
          <a:extLst>
            <a:ext uri="{FF2B5EF4-FFF2-40B4-BE49-F238E27FC236}">
              <a16:creationId xmlns:a16="http://schemas.microsoft.com/office/drawing/2014/main" id="{00000000-0008-0000-0600-00000D000000}"/>
            </a:ext>
          </a:extLst>
        </xdr:cNvPr>
        <xdr:cNvSpPr txBox="1"/>
      </xdr:nvSpPr>
      <xdr:spPr>
        <a:xfrm>
          <a:off x="6480153" y="537017"/>
          <a:ext cx="2027817"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twoCellAnchor editAs="oneCell">
    <xdr:from>
      <xdr:col>10</xdr:col>
      <xdr:colOff>47151</xdr:colOff>
      <xdr:row>18</xdr:row>
      <xdr:rowOff>117622</xdr:rowOff>
    </xdr:from>
    <xdr:to>
      <xdr:col>15</xdr:col>
      <xdr:colOff>496732</xdr:colOff>
      <xdr:row>30</xdr:row>
      <xdr:rowOff>93497</xdr:rowOff>
    </xdr:to>
    <xdr:pic>
      <xdr:nvPicPr>
        <xdr:cNvPr id="14" name="Picture 13" descr="Office people having board meeting Free Vector">
          <a:extLst>
            <a:ext uri="{FF2B5EF4-FFF2-40B4-BE49-F238E27FC236}">
              <a16:creationId xmlns:a16="http://schemas.microsoft.com/office/drawing/2014/main" id="{00000000-0008-0000-0600-00000E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294" t="11561"/>
        <a:stretch/>
      </xdr:blipFill>
      <xdr:spPr bwMode="auto">
        <a:xfrm>
          <a:off x="6581301" y="4499122"/>
          <a:ext cx="3402331" cy="2176150"/>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147894</xdr:colOff>
      <xdr:row>16</xdr:row>
      <xdr:rowOff>41948</xdr:rowOff>
    </xdr:from>
    <xdr:to>
      <xdr:col>15</xdr:col>
      <xdr:colOff>9520</xdr:colOff>
      <xdr:row>39</xdr:row>
      <xdr:rowOff>33618</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152853</xdr:colOff>
      <xdr:row>0</xdr:row>
      <xdr:rowOff>152321</xdr:rowOff>
    </xdr:from>
    <xdr:to>
      <xdr:col>14</xdr:col>
      <xdr:colOff>1028164</xdr:colOff>
      <xdr:row>15</xdr:row>
      <xdr:rowOff>76160</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485775</xdr:colOff>
          <xdr:row>3</xdr:row>
          <xdr:rowOff>66675</xdr:rowOff>
        </xdr:from>
        <xdr:to>
          <xdr:col>12</xdr:col>
          <xdr:colOff>152400</xdr:colOff>
          <xdr:row>22</xdr:row>
          <xdr:rowOff>9525</xdr:rowOff>
        </xdr:to>
        <xdr:sp macro="" textlink="">
          <xdr:nvSpPr>
            <xdr:cNvPr id="24577" name="Group Box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xdr:row>
          <xdr:rowOff>180975</xdr:rowOff>
        </xdr:from>
        <xdr:to>
          <xdr:col>3</xdr:col>
          <xdr:colOff>133350</xdr:colOff>
          <xdr:row>5</xdr:row>
          <xdr:rowOff>28575</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08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Hot Chips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180975</xdr:rowOff>
        </xdr:from>
        <xdr:to>
          <xdr:col>3</xdr:col>
          <xdr:colOff>133350</xdr:colOff>
          <xdr:row>11</xdr:row>
          <xdr:rowOff>28575</xdr:rowOff>
        </xdr:to>
        <xdr:sp macro="" textlink="">
          <xdr:nvSpPr>
            <xdr:cNvPr id="24580" name="Option Button 4" hidden="1">
              <a:extLst>
                <a:ext uri="{63B3BB69-23CF-44E3-9099-C40C66FF867C}">
                  <a14:compatExt spid="_x0000_s24580"/>
                </a:ext>
                <a:ext uri="{FF2B5EF4-FFF2-40B4-BE49-F238E27FC236}">
                  <a16:creationId xmlns:a16="http://schemas.microsoft.com/office/drawing/2014/main" id="{00000000-0008-0000-08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Fresh Salad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180975</xdr:rowOff>
        </xdr:from>
        <xdr:to>
          <xdr:col>3</xdr:col>
          <xdr:colOff>133350</xdr:colOff>
          <xdr:row>16</xdr:row>
          <xdr:rowOff>28575</xdr:rowOff>
        </xdr:to>
        <xdr:sp macro="" textlink="">
          <xdr:nvSpPr>
            <xdr:cNvPr id="24581" name="Option Button 5" hidden="1">
              <a:extLst>
                <a:ext uri="{63B3BB69-23CF-44E3-9099-C40C66FF867C}">
                  <a14:compatExt spid="_x0000_s24581"/>
                </a:ext>
                <a:ext uri="{FF2B5EF4-FFF2-40B4-BE49-F238E27FC236}">
                  <a16:creationId xmlns:a16="http://schemas.microsoft.com/office/drawing/2014/main" id="{00000000-0008-0000-08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Garlic Bread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25</xdr:row>
          <xdr:rowOff>9525</xdr:rowOff>
        </xdr:from>
        <xdr:to>
          <xdr:col>5</xdr:col>
          <xdr:colOff>314325</xdr:colOff>
          <xdr:row>25</xdr:row>
          <xdr:rowOff>190500</xdr:rowOff>
        </xdr:to>
        <xdr:sp macro="" textlink="">
          <xdr:nvSpPr>
            <xdr:cNvPr id="24582" name="Scroll Bar 6" hidden="1">
              <a:extLst>
                <a:ext uri="{63B3BB69-23CF-44E3-9099-C40C66FF867C}">
                  <a14:compatExt spid="_x0000_s24582"/>
                </a:ext>
                <a:ext uri="{FF2B5EF4-FFF2-40B4-BE49-F238E27FC236}">
                  <a16:creationId xmlns:a16="http://schemas.microsoft.com/office/drawing/2014/main" id="{00000000-0008-0000-0800-000006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611782</xdr:colOff>
      <xdr:row>1</xdr:row>
      <xdr:rowOff>516093</xdr:rowOff>
    </xdr:from>
    <xdr:to>
      <xdr:col>16</xdr:col>
      <xdr:colOff>98987</xdr:colOff>
      <xdr:row>8</xdr:row>
      <xdr:rowOff>95307</xdr:rowOff>
    </xdr:to>
    <xdr:pic>
      <xdr:nvPicPr>
        <xdr:cNvPr id="9" name="Picture 8" descr="French fries with ketchup on wood table Free Photo">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7675" y="1370252"/>
          <a:ext cx="2076658" cy="137744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13</xdr:col>
      <xdr:colOff>581471</xdr:colOff>
      <xdr:row>7</xdr:row>
      <xdr:rowOff>178290</xdr:rowOff>
    </xdr:from>
    <xdr:to>
      <xdr:col>17</xdr:col>
      <xdr:colOff>80919</xdr:colOff>
      <xdr:row>15</xdr:row>
      <xdr:rowOff>80919</xdr:rowOff>
    </xdr:to>
    <xdr:pic>
      <xdr:nvPicPr>
        <xdr:cNvPr id="10" name="Picture 9" descr="Greek salad with fresh tomato, cucumber, red onion, basil, feta cheese, black olives and italian herbs Free Photo">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8434" y="2654453"/>
          <a:ext cx="2088899" cy="1391563"/>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15</xdr:col>
      <xdr:colOff>204613</xdr:colOff>
      <xdr:row>13</xdr:row>
      <xdr:rowOff>182651</xdr:rowOff>
    </xdr:from>
    <xdr:to>
      <xdr:col>18</xdr:col>
      <xdr:colOff>272808</xdr:colOff>
      <xdr:row>22</xdr:row>
      <xdr:rowOff>16184</xdr:rowOff>
    </xdr:to>
    <xdr:pic>
      <xdr:nvPicPr>
        <xdr:cNvPr id="11" name="Picture 10" descr="https://food.fnr.sndimg.com/content/dam/images/food/fullset/2019/7/11/0/FNK_the-best-garlic-bread_H_s4x3.jpg.rend.hgtvcom.826.620.suffix/1562853902494.jpeg">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76301" y="3775515"/>
          <a:ext cx="2010284" cy="150858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0</xdr:row>
      <xdr:rowOff>88276</xdr:rowOff>
    </xdr:from>
    <xdr:to>
      <xdr:col>13</xdr:col>
      <xdr:colOff>267773</xdr:colOff>
      <xdr:row>0</xdr:row>
      <xdr:rowOff>522467</xdr:rowOff>
    </xdr:to>
    <xdr:pic>
      <xdr:nvPicPr>
        <xdr:cNvPr id="12" name="Picture 11" descr="C:\Users\mwyeoh\Dropbox\..VisualFrontier Projects\Images\Curtin\CurtinHeader.png">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88276"/>
          <a:ext cx="9144736" cy="434191"/>
        </a:xfrm>
        <a:prstGeom prst="rect">
          <a:avLst/>
        </a:prstGeom>
        <a:noFill/>
        <a:ln>
          <a:noFill/>
        </a:ln>
      </xdr:spPr>
    </xdr:pic>
    <xdr:clientData/>
  </xdr:twoCellAnchor>
  <xdr:oneCellAnchor>
    <xdr:from>
      <xdr:col>2</xdr:col>
      <xdr:colOff>594391</xdr:colOff>
      <xdr:row>0</xdr:row>
      <xdr:rowOff>0</xdr:rowOff>
    </xdr:from>
    <xdr:ext cx="2782878" cy="530658"/>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1889117" y="0"/>
          <a:ext cx="278287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DIVERSIFICATION</a:t>
          </a:r>
        </a:p>
      </xdr:txBody>
    </xdr:sp>
    <xdr:clientData/>
  </xdr:oneCellAnchor>
  <xdr:twoCellAnchor editAs="oneCell">
    <xdr:from>
      <xdr:col>10</xdr:col>
      <xdr:colOff>315590</xdr:colOff>
      <xdr:row>0</xdr:row>
      <xdr:rowOff>578949</xdr:rowOff>
    </xdr:from>
    <xdr:to>
      <xdr:col>13</xdr:col>
      <xdr:colOff>268279</xdr:colOff>
      <xdr:row>0</xdr:row>
      <xdr:rowOff>796045</xdr:rowOff>
    </xdr:to>
    <xdr:pic>
      <xdr:nvPicPr>
        <xdr:cNvPr id="16" name="Picture 15" descr="C:\Users\mwyeoh\Dropbox\..VisualFrontier Projects\Images\Curtin\curtinbusiness.png">
          <a:extLst>
            <a:ext uri="{FF2B5EF4-FFF2-40B4-BE49-F238E27FC236}">
              <a16:creationId xmlns:a16="http://schemas.microsoft.com/office/drawing/2014/main" id="{00000000-0008-0000-0800-00001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67243" y="578949"/>
          <a:ext cx="2177999" cy="217096"/>
        </a:xfrm>
        <a:prstGeom prst="rect">
          <a:avLst/>
        </a:prstGeom>
        <a:noFill/>
        <a:ln>
          <a:noFill/>
        </a:ln>
      </xdr:spPr>
    </xdr:pic>
    <xdr:clientData/>
  </xdr:twoCellAnchor>
  <xdr:twoCellAnchor>
    <xdr:from>
      <xdr:col>10</xdr:col>
      <xdr:colOff>405572</xdr:colOff>
      <xdr:row>0</xdr:row>
      <xdr:rowOff>542166</xdr:rowOff>
    </xdr:from>
    <xdr:to>
      <xdr:col>13</xdr:col>
      <xdr:colOff>425805</xdr:colOff>
      <xdr:row>0</xdr:row>
      <xdr:rowOff>822371</xdr:rowOff>
    </xdr:to>
    <xdr:sp macro="" textlink="">
      <xdr:nvSpPr>
        <xdr:cNvPr id="17" name="TextBox 6">
          <a:extLst>
            <a:ext uri="{FF2B5EF4-FFF2-40B4-BE49-F238E27FC236}">
              <a16:creationId xmlns:a16="http://schemas.microsoft.com/office/drawing/2014/main" id="{00000000-0008-0000-0800-000011000000}"/>
            </a:ext>
          </a:extLst>
        </xdr:cNvPr>
        <xdr:cNvSpPr txBox="1"/>
      </xdr:nvSpPr>
      <xdr:spPr>
        <a:xfrm>
          <a:off x="6472997" y="542166"/>
          <a:ext cx="2049058"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8.vml"/><Relationship Id="rId7" Type="http://schemas.openxmlformats.org/officeDocument/2006/relationships/ctrlProp" Target="../ctrlProps/ctrlProp64.x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9.vml"/><Relationship Id="rId7" Type="http://schemas.openxmlformats.org/officeDocument/2006/relationships/ctrlProp" Target="../ctrlProps/ctrlProp69.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7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77.xml"/><Relationship Id="rId3" Type="http://schemas.openxmlformats.org/officeDocument/2006/relationships/vmlDrawing" Target="../drawings/vmlDrawing11.vml"/><Relationship Id="rId7" Type="http://schemas.openxmlformats.org/officeDocument/2006/relationships/ctrlProp" Target="../ctrlProps/ctrlProp76.xml"/><Relationship Id="rId2" Type="http://schemas.openxmlformats.org/officeDocument/2006/relationships/drawing" Target="../drawings/drawing24.xml"/><Relationship Id="rId1" Type="http://schemas.openxmlformats.org/officeDocument/2006/relationships/printerSettings" Target="../printerSettings/printerSettings24.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1.xml"/><Relationship Id="rId12"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4.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5" Type="http://schemas.openxmlformats.org/officeDocument/2006/relationships/ctrlProp" Target="../ctrlProps/ctrlProp3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4.xml"/><Relationship Id="rId13" Type="http://schemas.openxmlformats.org/officeDocument/2006/relationships/ctrlProp" Target="../ctrlProps/ctrlProp49.xml"/><Relationship Id="rId3" Type="http://schemas.openxmlformats.org/officeDocument/2006/relationships/vmlDrawing" Target="../drawings/vmlDrawing5.vml"/><Relationship Id="rId7" Type="http://schemas.openxmlformats.org/officeDocument/2006/relationships/ctrlProp" Target="../ctrlProps/ctrlProp43.xml"/><Relationship Id="rId12" Type="http://schemas.openxmlformats.org/officeDocument/2006/relationships/ctrlProp" Target="../ctrlProps/ctrlProp4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42.xml"/><Relationship Id="rId11" Type="http://schemas.openxmlformats.org/officeDocument/2006/relationships/ctrlProp" Target="../ctrlProps/ctrlProp47.xml"/><Relationship Id="rId5" Type="http://schemas.openxmlformats.org/officeDocument/2006/relationships/ctrlProp" Target="../ctrlProps/ctrlProp41.xml"/><Relationship Id="rId15" Type="http://schemas.openxmlformats.org/officeDocument/2006/relationships/ctrlProp" Target="../ctrlProps/ctrlProp51.xml"/><Relationship Id="rId10" Type="http://schemas.openxmlformats.org/officeDocument/2006/relationships/ctrlProp" Target="../ctrlProps/ctrlProp46.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55.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7.vml"/><Relationship Id="rId7" Type="http://schemas.openxmlformats.org/officeDocument/2006/relationships/ctrlProp" Target="../ctrlProps/ctrlProp59.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4:J15"/>
  <sheetViews>
    <sheetView tabSelected="1" zoomScaleNormal="100" workbookViewId="0">
      <selection activeCell="C5" sqref="C5:I5"/>
    </sheetView>
  </sheetViews>
  <sheetFormatPr defaultColWidth="8.85546875" defaultRowHeight="23.25" x14ac:dyDescent="0.35"/>
  <cols>
    <col min="1" max="1" width="8.85546875" style="13"/>
    <col min="2" max="2" width="22.28515625" style="13" customWidth="1"/>
    <col min="3" max="5" width="8.85546875" style="13"/>
    <col min="6" max="6" width="15.28515625" style="13" bestFit="1" customWidth="1"/>
    <col min="7" max="8" width="8.85546875" style="13"/>
    <col min="9" max="9" width="35.140625" style="13" customWidth="1"/>
    <col min="10" max="10" width="11" style="13" bestFit="1" customWidth="1"/>
    <col min="11" max="11" width="10.5703125" style="13" bestFit="1" customWidth="1"/>
    <col min="12" max="16384" width="8.85546875" style="13"/>
  </cols>
  <sheetData>
    <row r="4" spans="1:10" ht="13.5" customHeight="1" x14ac:dyDescent="0.35"/>
    <row r="5" spans="1:10" x14ac:dyDescent="0.35">
      <c r="B5" s="13" t="s">
        <v>71</v>
      </c>
      <c r="C5" s="328"/>
      <c r="D5" s="328"/>
      <c r="E5" s="328"/>
      <c r="F5" s="328"/>
      <c r="G5" s="328"/>
      <c r="H5" s="328"/>
      <c r="I5" s="328"/>
    </row>
    <row r="6" spans="1:10" x14ac:dyDescent="0.35">
      <c r="B6" s="13" t="s">
        <v>72</v>
      </c>
      <c r="C6" s="328"/>
      <c r="D6" s="328"/>
      <c r="E6" s="328"/>
      <c r="F6" s="328"/>
      <c r="G6" s="328"/>
      <c r="H6" s="328"/>
      <c r="I6" s="328"/>
    </row>
    <row r="7" spans="1:10" x14ac:dyDescent="0.35">
      <c r="B7" s="13" t="s">
        <v>73</v>
      </c>
      <c r="C7" s="328"/>
      <c r="D7" s="328"/>
      <c r="E7" s="328"/>
      <c r="F7" s="328"/>
      <c r="G7" s="328"/>
      <c r="H7" s="328"/>
      <c r="I7" s="328"/>
    </row>
    <row r="8" spans="1:10" x14ac:dyDescent="0.35">
      <c r="A8" s="72"/>
    </row>
    <row r="9" spans="1:10" ht="211.5" customHeight="1" x14ac:dyDescent="0.35">
      <c r="B9" s="329" t="s">
        <v>445</v>
      </c>
      <c r="C9" s="329"/>
      <c r="D9" s="329"/>
      <c r="E9" s="329"/>
      <c r="F9" s="329"/>
      <c r="G9" s="329"/>
      <c r="H9" s="329"/>
      <c r="I9" s="329"/>
    </row>
    <row r="10" spans="1:10" ht="55.7" customHeight="1" x14ac:dyDescent="0.35">
      <c r="B10" s="330" t="s">
        <v>702</v>
      </c>
      <c r="C10" s="330"/>
      <c r="D10" s="330"/>
      <c r="E10" s="330"/>
      <c r="F10" s="330"/>
      <c r="G10" s="330"/>
      <c r="H10" s="330"/>
      <c r="I10" s="330"/>
      <c r="J10" s="74"/>
    </row>
    <row r="11" spans="1:10" ht="92.25" customHeight="1" x14ac:dyDescent="0.35">
      <c r="B11" s="330"/>
      <c r="C11" s="330"/>
      <c r="D11" s="330"/>
      <c r="E11" s="330"/>
      <c r="F11" s="330"/>
      <c r="G11" s="330"/>
      <c r="H11" s="330"/>
      <c r="I11" s="330"/>
      <c r="J11" s="74"/>
    </row>
    <row r="13" spans="1:10" x14ac:dyDescent="0.35">
      <c r="G13" s="46" t="s">
        <v>310</v>
      </c>
    </row>
    <row r="14" spans="1:10" x14ac:dyDescent="0.35">
      <c r="F14" s="64" t="s">
        <v>499</v>
      </c>
    </row>
    <row r="15" spans="1:10" x14ac:dyDescent="0.35">
      <c r="F15" s="165">
        <f ca="1">'(HIDE) Data Validation'!J81</f>
        <v>41104240500</v>
      </c>
    </row>
  </sheetData>
  <sheetProtection algorithmName="SHA-512" hashValue="Ta/K5oOJd9heHkX1et1cihqGSrni+miVmlQtKlPUg/Jq5QcvXN7CC+myk5QJ1wp4/MVQf0imslfIg9ao4o1yOA==" saltValue="I1dnitHWAahRKUBwEA3sNQ==" spinCount="100000" sheet="1" objects="1" scenarios="1" selectLockedCells="1"/>
  <mergeCells count="5">
    <mergeCell ref="C5:I5"/>
    <mergeCell ref="C6:I6"/>
    <mergeCell ref="C7:I7"/>
    <mergeCell ref="B9:I9"/>
    <mergeCell ref="B10:I11"/>
  </mergeCells>
  <conditionalFormatting sqref="C7">
    <cfRule type="cellIs" dxfId="33" priority="1" operator="between">
      <formula>9999999</formula>
      <formula>1</formula>
    </cfRule>
    <cfRule type="cellIs" dxfId="32" priority="2" operator="greaterThan">
      <formula>99999999</formula>
    </cfRule>
  </conditionalFormatting>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dimension ref="C2:Q31"/>
  <sheetViews>
    <sheetView zoomScale="85" zoomScaleNormal="85" workbookViewId="0">
      <selection activeCell="F29" sqref="F29"/>
    </sheetView>
  </sheetViews>
  <sheetFormatPr defaultColWidth="8.85546875" defaultRowHeight="15" x14ac:dyDescent="0.25"/>
  <cols>
    <col min="1" max="2" width="8.85546875" style="1"/>
    <col min="3" max="3" width="1.7109375" style="1" customWidth="1"/>
    <col min="4" max="4" width="43" style="1" customWidth="1"/>
    <col min="5" max="16" width="14.85546875" style="1" customWidth="1"/>
    <col min="17" max="17" width="16.7109375" style="1" customWidth="1"/>
    <col min="18" max="16384" width="8.85546875" style="1"/>
  </cols>
  <sheetData>
    <row r="2" spans="3:17" ht="18.75" x14ac:dyDescent="0.3">
      <c r="C2" s="372" t="str">
        <f>IF('Business Setup'!F3="","UNNAMED",'Business Setup'!F3)</f>
        <v>UNNAMED</v>
      </c>
      <c r="D2" s="373"/>
      <c r="E2" s="373"/>
      <c r="F2" s="373"/>
      <c r="G2" s="373"/>
      <c r="H2" s="373"/>
      <c r="I2" s="373"/>
      <c r="J2" s="373"/>
      <c r="K2" s="373"/>
      <c r="L2" s="373"/>
      <c r="M2" s="373"/>
      <c r="N2" s="373"/>
      <c r="O2" s="373"/>
      <c r="P2" s="373"/>
      <c r="Q2" s="374"/>
    </row>
    <row r="3" spans="3:17" ht="18.75" x14ac:dyDescent="0.3">
      <c r="C3" s="375" t="s">
        <v>594</v>
      </c>
      <c r="D3" s="376"/>
      <c r="E3" s="376"/>
      <c r="F3" s="376"/>
      <c r="G3" s="376"/>
      <c r="H3" s="376"/>
      <c r="I3" s="376"/>
      <c r="J3" s="376"/>
      <c r="K3" s="376"/>
      <c r="L3" s="376"/>
      <c r="M3" s="376"/>
      <c r="N3" s="376"/>
      <c r="O3" s="376"/>
      <c r="P3" s="376"/>
      <c r="Q3" s="377"/>
    </row>
    <row r="4" spans="3:17" ht="9.6" customHeight="1" x14ac:dyDescent="0.3">
      <c r="C4" s="199"/>
      <c r="D4" s="199"/>
      <c r="E4" s="199"/>
      <c r="F4" s="199"/>
      <c r="G4" s="199"/>
      <c r="H4" s="199"/>
      <c r="I4" s="199"/>
      <c r="J4" s="199"/>
      <c r="K4" s="199"/>
      <c r="L4" s="199"/>
      <c r="M4" s="199"/>
      <c r="N4" s="199"/>
      <c r="O4" s="199"/>
      <c r="P4" s="199"/>
      <c r="Q4" s="199"/>
    </row>
    <row r="5" spans="3:17" ht="18.75" x14ac:dyDescent="0.3">
      <c r="C5" s="202" t="s">
        <v>595</v>
      </c>
      <c r="D5" s="202"/>
      <c r="E5" s="30"/>
      <c r="F5" s="30"/>
      <c r="G5" s="30"/>
      <c r="H5" s="30"/>
      <c r="I5" s="30"/>
      <c r="J5" s="30"/>
      <c r="K5" s="30"/>
      <c r="L5" s="30"/>
      <c r="M5" s="30"/>
      <c r="N5" s="30"/>
      <c r="O5" s="30"/>
      <c r="P5" s="30"/>
      <c r="Q5" s="30"/>
    </row>
    <row r="6" spans="3:17" ht="18.600000000000001" customHeight="1" x14ac:dyDescent="0.25">
      <c r="C6" s="210"/>
      <c r="D6" s="211"/>
      <c r="E6" s="212" t="s">
        <v>1</v>
      </c>
      <c r="F6" s="212" t="s">
        <v>2</v>
      </c>
      <c r="G6" s="212" t="s">
        <v>3</v>
      </c>
      <c r="H6" s="212" t="s">
        <v>4</v>
      </c>
      <c r="I6" s="212" t="s">
        <v>5</v>
      </c>
      <c r="J6" s="212" t="s">
        <v>6</v>
      </c>
      <c r="K6" s="212" t="s">
        <v>7</v>
      </c>
      <c r="L6" s="212" t="s">
        <v>8</v>
      </c>
      <c r="M6" s="212" t="s">
        <v>9</v>
      </c>
      <c r="N6" s="212" t="s">
        <v>10</v>
      </c>
      <c r="O6" s="212" t="s">
        <v>11</v>
      </c>
      <c r="P6" s="212" t="s">
        <v>12</v>
      </c>
      <c r="Q6" s="212" t="s">
        <v>580</v>
      </c>
    </row>
    <row r="7" spans="3:17" ht="18.600000000000001" customHeight="1" x14ac:dyDescent="0.25">
      <c r="C7" s="10"/>
      <c r="D7" s="203" t="str">
        <f>"TOTAL Servings of "&amp;'(HIDE) Data Validation'!A7</f>
        <v>TOTAL Servings of Burgers</v>
      </c>
      <c r="E7" s="306">
        <f>'(HIDE) Data Validation'!N14</f>
        <v>6098</v>
      </c>
      <c r="F7" s="306">
        <f>'(HIDE) Data Validation'!O14</f>
        <v>10749</v>
      </c>
      <c r="G7" s="306">
        <f>'(HIDE) Data Validation'!P14</f>
        <v>11992</v>
      </c>
      <c r="H7" s="306">
        <f>'(HIDE) Data Validation'!Q14</f>
        <v>17968</v>
      </c>
      <c r="I7" s="306">
        <f>'(HIDE) Data Validation'!R14</f>
        <v>21399</v>
      </c>
      <c r="J7" s="306">
        <f>'(HIDE) Data Validation'!S14</f>
        <v>17867</v>
      </c>
      <c r="K7" s="306">
        <f>'(HIDE) Data Validation'!T14</f>
        <v>23916</v>
      </c>
      <c r="L7" s="306">
        <f>'(HIDE) Data Validation'!U14</f>
        <v>23938</v>
      </c>
      <c r="M7" s="306">
        <f>'(HIDE) Data Validation'!V14</f>
        <v>20989</v>
      </c>
      <c r="N7" s="306">
        <f>'(HIDE) Data Validation'!W14</f>
        <v>27077</v>
      </c>
      <c r="O7" s="306">
        <f>'(HIDE) Data Validation'!X14</f>
        <v>30534</v>
      </c>
      <c r="P7" s="306">
        <f>'(HIDE) Data Validation'!Y14</f>
        <v>39634</v>
      </c>
      <c r="Q7" s="307">
        <f>SUM(E7:P7)</f>
        <v>252161</v>
      </c>
    </row>
    <row r="8" spans="3:17" ht="18.600000000000001" customHeight="1" x14ac:dyDescent="0.25">
      <c r="C8" s="213"/>
      <c r="D8" s="214" t="str">
        <f>"TOTAL Servings of "&amp;'(HIDE) Data Validation'!B42</f>
        <v>TOTAL Servings of Hot Chips</v>
      </c>
      <c r="E8" s="308"/>
      <c r="F8" s="308"/>
      <c r="G8" s="308"/>
      <c r="H8" s="308"/>
      <c r="I8" s="308"/>
      <c r="J8" s="308"/>
      <c r="K8" s="308">
        <f>'(HIDE) Data Validation'!T28</f>
        <v>12133</v>
      </c>
      <c r="L8" s="308">
        <f>'(HIDE) Data Validation'!U28</f>
        <v>12144</v>
      </c>
      <c r="M8" s="308">
        <f>'(HIDE) Data Validation'!V28</f>
        <v>10648</v>
      </c>
      <c r="N8" s="308">
        <f>'(HIDE) Data Validation'!W28</f>
        <v>13736</v>
      </c>
      <c r="O8" s="308">
        <f>'(HIDE) Data Validation'!X28</f>
        <v>15490</v>
      </c>
      <c r="P8" s="308">
        <f>'(HIDE) Data Validation'!Y28</f>
        <v>20106</v>
      </c>
      <c r="Q8" s="309">
        <f>SUM(E8:P8)</f>
        <v>84257</v>
      </c>
    </row>
    <row r="9" spans="3:17" ht="18.600000000000001" customHeight="1" x14ac:dyDescent="0.25">
      <c r="C9" s="10"/>
      <c r="D9" s="203"/>
      <c r="E9" s="306"/>
      <c r="F9" s="306"/>
      <c r="G9" s="306"/>
      <c r="H9" s="306"/>
      <c r="I9" s="306"/>
      <c r="J9" s="306"/>
      <c r="K9" s="306"/>
      <c r="L9" s="306"/>
      <c r="M9" s="306"/>
      <c r="N9" s="306"/>
      <c r="O9" s="306"/>
      <c r="P9" s="306"/>
      <c r="Q9" s="307"/>
    </row>
    <row r="10" spans="3:17" ht="18.600000000000001" customHeight="1" x14ac:dyDescent="0.25">
      <c r="C10" s="213"/>
      <c r="D10" s="214" t="str">
        <f>"Servings of "&amp;'(HIDE) Data Validation'!A7&amp;" (Dine-in &amp; Takeaway)"</f>
        <v>Servings of Burgers (Dine-in &amp; Takeaway)</v>
      </c>
      <c r="E10" s="308">
        <f t="shared" ref="E10:P10" si="0">E7-E11</f>
        <v>6098</v>
      </c>
      <c r="F10" s="308">
        <f t="shared" si="0"/>
        <v>10749</v>
      </c>
      <c r="G10" s="308">
        <f t="shared" si="0"/>
        <v>11992</v>
      </c>
      <c r="H10" s="308">
        <f t="shared" si="0"/>
        <v>17968</v>
      </c>
      <c r="I10" s="308">
        <f t="shared" si="0"/>
        <v>21399</v>
      </c>
      <c r="J10" s="308">
        <f t="shared" si="0"/>
        <v>17867</v>
      </c>
      <c r="K10" s="308">
        <f t="shared" si="0"/>
        <v>23916</v>
      </c>
      <c r="L10" s="308">
        <f t="shared" si="0"/>
        <v>23938</v>
      </c>
      <c r="M10" s="308">
        <f t="shared" si="0"/>
        <v>20989</v>
      </c>
      <c r="N10" s="308">
        <f t="shared" si="0"/>
        <v>27077</v>
      </c>
      <c r="O10" s="308">
        <f t="shared" si="0"/>
        <v>30534</v>
      </c>
      <c r="P10" s="308">
        <f t="shared" si="0"/>
        <v>39634</v>
      </c>
      <c r="Q10" s="309">
        <f>SUM(E10:P10)</f>
        <v>252161</v>
      </c>
    </row>
    <row r="11" spans="3:17" ht="18.600000000000001" customHeight="1" x14ac:dyDescent="0.25">
      <c r="C11" s="10"/>
      <c r="D11" s="203" t="str">
        <f>"Servings of "&amp;'(HIDE) Data Validation'!A7&amp;" (Deliveries)"</f>
        <v>Servings of Burgers (Deliveries)</v>
      </c>
      <c r="E11" s="306">
        <f>'(HIDE) Data Validation'!N52</f>
        <v>0</v>
      </c>
      <c r="F11" s="306">
        <f>'(HIDE) Data Validation'!O52</f>
        <v>0</v>
      </c>
      <c r="G11" s="306">
        <f>'(HIDE) Data Validation'!P52</f>
        <v>0</v>
      </c>
      <c r="H11" s="306">
        <f>'(HIDE) Data Validation'!Q52</f>
        <v>0</v>
      </c>
      <c r="I11" s="306">
        <f>'(HIDE) Data Validation'!R52</f>
        <v>0</v>
      </c>
      <c r="J11" s="306">
        <f>'(HIDE) Data Validation'!S52</f>
        <v>0</v>
      </c>
      <c r="K11" s="306">
        <f>'(HIDE) Data Validation'!T52</f>
        <v>0</v>
      </c>
      <c r="L11" s="306">
        <f>'(HIDE) Data Validation'!U52</f>
        <v>0</v>
      </c>
      <c r="M11" s="306">
        <f>'(HIDE) Data Validation'!V52</f>
        <v>0</v>
      </c>
      <c r="N11" s="306">
        <f>'(HIDE) Data Validation'!W52</f>
        <v>0</v>
      </c>
      <c r="O11" s="306">
        <f>'(HIDE) Data Validation'!X52</f>
        <v>0</v>
      </c>
      <c r="P11" s="306">
        <f>'(HIDE) Data Validation'!Y52</f>
        <v>0</v>
      </c>
      <c r="Q11" s="307">
        <f>SUM(E11:P11)</f>
        <v>0</v>
      </c>
    </row>
    <row r="12" spans="3:17" ht="18.600000000000001" customHeight="1" x14ac:dyDescent="0.25">
      <c r="C12" s="213"/>
      <c r="D12" s="214" t="str">
        <f>"Servings of "&amp;'(HIDE) Data Validation'!B42&amp;" (Dine-in &amp; Takeaway)"</f>
        <v>Servings of Hot Chips (Dine-in &amp; Takeaway)</v>
      </c>
      <c r="E12" s="308"/>
      <c r="F12" s="308"/>
      <c r="G12" s="308"/>
      <c r="H12" s="308"/>
      <c r="I12" s="308"/>
      <c r="J12" s="308"/>
      <c r="K12" s="308">
        <f t="shared" ref="K12:P12" si="1">K8-K13</f>
        <v>12133</v>
      </c>
      <c r="L12" s="308">
        <f t="shared" si="1"/>
        <v>12144</v>
      </c>
      <c r="M12" s="308">
        <f t="shared" si="1"/>
        <v>10648</v>
      </c>
      <c r="N12" s="308">
        <f t="shared" si="1"/>
        <v>13736</v>
      </c>
      <c r="O12" s="308">
        <f t="shared" si="1"/>
        <v>15490</v>
      </c>
      <c r="P12" s="308">
        <f t="shared" si="1"/>
        <v>20106</v>
      </c>
      <c r="Q12" s="309">
        <f>SUM(E12:P12)</f>
        <v>84257</v>
      </c>
    </row>
    <row r="13" spans="3:17" ht="18.600000000000001" customHeight="1" x14ac:dyDescent="0.25">
      <c r="C13" s="10"/>
      <c r="D13" s="203" t="str">
        <f>"Servings of "&amp;'(HIDE) Data Validation'!B42&amp;" (Deliveries)"</f>
        <v>Servings of Hot Chips (Deliveries)</v>
      </c>
      <c r="E13" s="306"/>
      <c r="F13" s="306"/>
      <c r="G13" s="306"/>
      <c r="H13" s="306"/>
      <c r="I13" s="306"/>
      <c r="J13" s="306"/>
      <c r="K13" s="306">
        <f>'(HIDE) Data Validation'!T52</f>
        <v>0</v>
      </c>
      <c r="L13" s="306">
        <f>'(HIDE) Data Validation'!U52</f>
        <v>0</v>
      </c>
      <c r="M13" s="306">
        <f>'(HIDE) Data Validation'!V52</f>
        <v>0</v>
      </c>
      <c r="N13" s="306">
        <f>'(HIDE) Data Validation'!W52</f>
        <v>0</v>
      </c>
      <c r="O13" s="306">
        <f>'(HIDE) Data Validation'!X52</f>
        <v>0</v>
      </c>
      <c r="P13" s="306">
        <f>'(HIDE) Data Validation'!Y52</f>
        <v>0</v>
      </c>
      <c r="Q13" s="307">
        <f>SUM(E13:P13)</f>
        <v>0</v>
      </c>
    </row>
    <row r="14" spans="3:17" ht="18.600000000000001" customHeight="1" x14ac:dyDescent="0.25">
      <c r="C14" s="213"/>
      <c r="D14" s="214"/>
      <c r="E14" s="308"/>
      <c r="F14" s="308"/>
      <c r="G14" s="308"/>
      <c r="H14" s="308"/>
      <c r="I14" s="308"/>
      <c r="J14" s="308"/>
      <c r="K14" s="308"/>
      <c r="L14" s="308"/>
      <c r="M14" s="308"/>
      <c r="N14" s="308"/>
      <c r="O14" s="308"/>
      <c r="P14" s="308"/>
      <c r="Q14" s="309"/>
    </row>
    <row r="15" spans="3:17" ht="18.600000000000001" customHeight="1" x14ac:dyDescent="0.25">
      <c r="C15" s="10"/>
      <c r="D15" s="203" t="str">
        <f>"Average daily "&amp;'(HIDE) Data Validation'!A7&amp;" Sales"</f>
        <v>Average daily Burgers Sales</v>
      </c>
      <c r="E15" s="306">
        <f>ROUND(E7/31,2)</f>
        <v>196.71</v>
      </c>
      <c r="F15" s="306">
        <f>ROUND(F7/28,2)</f>
        <v>383.89</v>
      </c>
      <c r="G15" s="306">
        <f>ROUND(G7/31,2)</f>
        <v>386.84</v>
      </c>
      <c r="H15" s="306">
        <f>ROUND(H7/30,2)</f>
        <v>598.92999999999995</v>
      </c>
      <c r="I15" s="306">
        <f>ROUND(I7/31,2)</f>
        <v>690.29</v>
      </c>
      <c r="J15" s="306">
        <f>ROUND(J7/30,2)</f>
        <v>595.57000000000005</v>
      </c>
      <c r="K15" s="306">
        <f>ROUND(K7/31,2)</f>
        <v>771.48</v>
      </c>
      <c r="L15" s="306">
        <f>ROUND(L7/31,2)</f>
        <v>772.19</v>
      </c>
      <c r="M15" s="306">
        <f>ROUND(M7/30,2)</f>
        <v>699.63</v>
      </c>
      <c r="N15" s="306">
        <f>ROUND(N7/31,2)</f>
        <v>873.45</v>
      </c>
      <c r="O15" s="306">
        <f>ROUND(O7/30,2)</f>
        <v>1017.8</v>
      </c>
      <c r="P15" s="306">
        <f>ROUND(P7/31,2)</f>
        <v>1278.52</v>
      </c>
      <c r="Q15" s="307">
        <f>ROUND(Q7/365,2)</f>
        <v>690.85</v>
      </c>
    </row>
    <row r="16" spans="3:17" ht="18.600000000000001" customHeight="1" x14ac:dyDescent="0.25">
      <c r="C16" s="213"/>
      <c r="D16" s="214" t="str">
        <f>"Average daily "&amp;'(HIDE) Data Validation'!B42&amp;" Sales"</f>
        <v>Average daily Hot Chips Sales</v>
      </c>
      <c r="E16" s="308"/>
      <c r="F16" s="308"/>
      <c r="G16" s="308"/>
      <c r="H16" s="308"/>
      <c r="I16" s="308"/>
      <c r="J16" s="308"/>
      <c r="K16" s="308">
        <f>ROUND(K8/31,2)</f>
        <v>391.39</v>
      </c>
      <c r="L16" s="308">
        <f>ROUND(L8/31,2)</f>
        <v>391.74</v>
      </c>
      <c r="M16" s="308">
        <f>ROUND(M8/30,2)</f>
        <v>354.93</v>
      </c>
      <c r="N16" s="308">
        <f>ROUND(N8/31,2)</f>
        <v>443.1</v>
      </c>
      <c r="O16" s="308">
        <f>ROUND(O8/30,2)</f>
        <v>516.33000000000004</v>
      </c>
      <c r="P16" s="308">
        <f>ROUND(P8/31,2)</f>
        <v>648.58000000000004</v>
      </c>
      <c r="Q16" s="308">
        <f>ROUND(Q8/365,2)</f>
        <v>230.84</v>
      </c>
    </row>
    <row r="17" spans="3:17" x14ac:dyDescent="0.25">
      <c r="C17" s="201"/>
      <c r="D17" s="205"/>
      <c r="E17" s="205"/>
      <c r="F17" s="205"/>
      <c r="G17" s="205"/>
      <c r="H17" s="205"/>
      <c r="I17" s="205"/>
      <c r="J17" s="205"/>
      <c r="K17" s="205"/>
      <c r="L17" s="205"/>
      <c r="M17" s="205"/>
      <c r="N17" s="205"/>
      <c r="O17" s="205"/>
      <c r="P17" s="205"/>
      <c r="Q17" s="205"/>
    </row>
    <row r="18" spans="3:17" ht="18.75" x14ac:dyDescent="0.3">
      <c r="C18" s="202" t="s">
        <v>596</v>
      </c>
      <c r="D18" s="206"/>
      <c r="E18" s="204"/>
      <c r="F18" s="204"/>
      <c r="G18" s="204"/>
      <c r="H18" s="204"/>
      <c r="I18" s="204"/>
      <c r="J18" s="204"/>
      <c r="K18" s="204"/>
      <c r="L18" s="204"/>
      <c r="M18" s="204"/>
      <c r="N18" s="204"/>
      <c r="O18" s="204"/>
      <c r="P18" s="204"/>
      <c r="Q18" s="204"/>
    </row>
    <row r="19" spans="3:17" ht="18.600000000000001" customHeight="1" x14ac:dyDescent="0.3">
      <c r="C19" s="216"/>
      <c r="D19" s="217"/>
      <c r="E19" s="218" t="s">
        <v>1</v>
      </c>
      <c r="F19" s="218" t="s">
        <v>2</v>
      </c>
      <c r="G19" s="218" t="s">
        <v>3</v>
      </c>
      <c r="H19" s="218" t="s">
        <v>4</v>
      </c>
      <c r="I19" s="218" t="s">
        <v>5</v>
      </c>
      <c r="J19" s="218" t="s">
        <v>6</v>
      </c>
      <c r="K19" s="218" t="s">
        <v>7</v>
      </c>
      <c r="L19" s="218" t="s">
        <v>8</v>
      </c>
      <c r="M19" s="218" t="s">
        <v>9</v>
      </c>
      <c r="N19" s="218" t="s">
        <v>10</v>
      </c>
      <c r="O19" s="218" t="s">
        <v>11</v>
      </c>
      <c r="P19" s="218" t="s">
        <v>12</v>
      </c>
      <c r="Q19" s="218" t="s">
        <v>580</v>
      </c>
    </row>
    <row r="20" spans="3:17" ht="18.600000000000001" customHeight="1" x14ac:dyDescent="0.3">
      <c r="C20" s="200"/>
      <c r="D20" s="207"/>
      <c r="E20" s="208" t="s">
        <v>38</v>
      </c>
      <c r="F20" s="208" t="s">
        <v>38</v>
      </c>
      <c r="G20" s="208" t="s">
        <v>38</v>
      </c>
      <c r="H20" s="208" t="s">
        <v>38</v>
      </c>
      <c r="I20" s="208" t="s">
        <v>38</v>
      </c>
      <c r="J20" s="208" t="s">
        <v>38</v>
      </c>
      <c r="K20" s="208" t="s">
        <v>38</v>
      </c>
      <c r="L20" s="208" t="s">
        <v>38</v>
      </c>
      <c r="M20" s="208" t="s">
        <v>38</v>
      </c>
      <c r="N20" s="208" t="s">
        <v>38</v>
      </c>
      <c r="O20" s="208" t="s">
        <v>38</v>
      </c>
      <c r="P20" s="208" t="s">
        <v>38</v>
      </c>
      <c r="Q20" s="208" t="s">
        <v>38</v>
      </c>
    </row>
    <row r="21" spans="3:17" ht="18.600000000000001" customHeight="1" x14ac:dyDescent="0.25">
      <c r="C21" s="213"/>
      <c r="D21" s="214" t="str">
        <f>"Sales of "&amp;'(HIDE) Data Validation'!A7&amp;" (Cash Sales)"</f>
        <v>Sales of Burgers (Cash Sales)</v>
      </c>
      <c r="E21" s="219">
        <f>'(HIDE) Data Validation'!N42</f>
        <v>42686</v>
      </c>
      <c r="F21" s="219">
        <f>'(HIDE) Data Validation'!O42</f>
        <v>75243</v>
      </c>
      <c r="G21" s="219">
        <f>'(HIDE) Data Validation'!P42</f>
        <v>83944</v>
      </c>
      <c r="H21" s="219">
        <f>'(HIDE) Data Validation'!Q42</f>
        <v>125776</v>
      </c>
      <c r="I21" s="219">
        <f>'(HIDE) Data Validation'!R42</f>
        <v>149793</v>
      </c>
      <c r="J21" s="219">
        <f>'(HIDE) Data Validation'!S42</f>
        <v>125069</v>
      </c>
      <c r="K21" s="219">
        <f>'(HIDE) Data Validation'!T42</f>
        <v>167412</v>
      </c>
      <c r="L21" s="219">
        <f>'(HIDE) Data Validation'!U42</f>
        <v>167566</v>
      </c>
      <c r="M21" s="219">
        <f>'(HIDE) Data Validation'!V42</f>
        <v>146923</v>
      </c>
      <c r="N21" s="219">
        <f>'(HIDE) Data Validation'!W42</f>
        <v>189539</v>
      </c>
      <c r="O21" s="219">
        <f>'(HIDE) Data Validation'!X42</f>
        <v>213738</v>
      </c>
      <c r="P21" s="219">
        <f>'(HIDE) Data Validation'!Y42</f>
        <v>277438</v>
      </c>
      <c r="Q21" s="220">
        <f>SUM(E21:P21)</f>
        <v>1765127</v>
      </c>
    </row>
    <row r="22" spans="3:17" ht="18.600000000000001" customHeight="1" x14ac:dyDescent="0.25">
      <c r="C22" s="10"/>
      <c r="D22" s="203" t="str">
        <f>"Sales of "&amp;'(HIDE) Data Validation'!A7&amp;" (Credit Sales)"</f>
        <v>Sales of Burgers (Credit Sales)</v>
      </c>
      <c r="E22" s="209">
        <f>'(HIDE) Data Validation'!O43</f>
        <v>18294</v>
      </c>
      <c r="F22" s="209">
        <f>'(HIDE) Data Validation'!P43</f>
        <v>32247</v>
      </c>
      <c r="G22" s="209">
        <f>'(HIDE) Data Validation'!Q43</f>
        <v>35976</v>
      </c>
      <c r="H22" s="209">
        <f>'(HIDE) Data Validation'!R43</f>
        <v>53904</v>
      </c>
      <c r="I22" s="209">
        <f>'(HIDE) Data Validation'!S43</f>
        <v>64197</v>
      </c>
      <c r="J22" s="209">
        <f>'(HIDE) Data Validation'!T43</f>
        <v>53601</v>
      </c>
      <c r="K22" s="209">
        <f>'(HIDE) Data Validation'!U43</f>
        <v>71748</v>
      </c>
      <c r="L22" s="209">
        <f>'(HIDE) Data Validation'!V43</f>
        <v>71814</v>
      </c>
      <c r="M22" s="209">
        <f>'(HIDE) Data Validation'!W43</f>
        <v>62967</v>
      </c>
      <c r="N22" s="209">
        <f>'(HIDE) Data Validation'!X43</f>
        <v>81231</v>
      </c>
      <c r="O22" s="209">
        <f>'(HIDE) Data Validation'!Y43</f>
        <v>91602</v>
      </c>
      <c r="P22" s="209">
        <f>'(HIDE) Data Validation'!Z43</f>
        <v>118902</v>
      </c>
      <c r="Q22" s="221">
        <f>SUM(E22:P22)</f>
        <v>756483</v>
      </c>
    </row>
    <row r="23" spans="3:17" ht="18.600000000000001" customHeight="1" x14ac:dyDescent="0.25">
      <c r="C23" s="213"/>
      <c r="D23" s="214" t="str">
        <f>"Sales of "&amp;'(HIDE) Data Validation'!B42&amp;" (Cash Sales)"</f>
        <v>Sales of Hot Chips (Cash Sales)</v>
      </c>
      <c r="E23" s="219"/>
      <c r="F23" s="219"/>
      <c r="G23" s="219"/>
      <c r="H23" s="219"/>
      <c r="I23" s="219"/>
      <c r="J23" s="219"/>
      <c r="K23" s="219">
        <f>'(HIDE) Data Validation'!T44</f>
        <v>33972.400000000001</v>
      </c>
      <c r="L23" s="219">
        <f>'(HIDE) Data Validation'!U44</f>
        <v>34003.199999999997</v>
      </c>
      <c r="M23" s="219">
        <f>'(HIDE) Data Validation'!V44</f>
        <v>29814.400000000001</v>
      </c>
      <c r="N23" s="219">
        <f>'(HIDE) Data Validation'!W44</f>
        <v>38460.800000000003</v>
      </c>
      <c r="O23" s="219">
        <f>'(HIDE) Data Validation'!X44</f>
        <v>43372</v>
      </c>
      <c r="P23" s="219">
        <f>'(HIDE) Data Validation'!Y44</f>
        <v>56296.800000000003</v>
      </c>
      <c r="Q23" s="220">
        <f>SUM(E23:P23)</f>
        <v>235919.59999999998</v>
      </c>
    </row>
    <row r="24" spans="3:17" ht="18.600000000000001" customHeight="1" x14ac:dyDescent="0.25">
      <c r="C24" s="10"/>
      <c r="D24" s="203" t="str">
        <f>"Sales of "&amp;'(HIDE) Data Validation'!B42&amp;" (Credit Sales)"</f>
        <v>Sales of Hot Chips (Credit Sales)</v>
      </c>
      <c r="E24" s="209"/>
      <c r="F24" s="209"/>
      <c r="G24" s="209"/>
      <c r="H24" s="209"/>
      <c r="I24" s="209"/>
      <c r="J24" s="209"/>
      <c r="K24" s="209">
        <f>'(HIDE) Data Validation'!U45</f>
        <v>14559.6</v>
      </c>
      <c r="L24" s="209">
        <f>'(HIDE) Data Validation'!V45</f>
        <v>14572.8</v>
      </c>
      <c r="M24" s="209">
        <f>'(HIDE) Data Validation'!W45</f>
        <v>12777.6</v>
      </c>
      <c r="N24" s="209">
        <f>'(HIDE) Data Validation'!X45</f>
        <v>16483.2</v>
      </c>
      <c r="O24" s="209">
        <f>'(HIDE) Data Validation'!Y45</f>
        <v>18588</v>
      </c>
      <c r="P24" s="209">
        <f>'(HIDE) Data Validation'!Z45</f>
        <v>24127.200000000001</v>
      </c>
      <c r="Q24" s="221">
        <f>SUM(E24:P24)</f>
        <v>101108.4</v>
      </c>
    </row>
    <row r="25" spans="3:17" ht="18.600000000000001" customHeight="1" x14ac:dyDescent="0.25">
      <c r="C25" s="215"/>
      <c r="D25" s="256" t="s">
        <v>671</v>
      </c>
      <c r="E25" s="257">
        <f>SUM(E21:E24)</f>
        <v>60980</v>
      </c>
      <c r="F25" s="257">
        <f t="shared" ref="F25:Q25" si="2">SUM(F21:F24)</f>
        <v>107490</v>
      </c>
      <c r="G25" s="257">
        <f t="shared" si="2"/>
        <v>119920</v>
      </c>
      <c r="H25" s="257">
        <f t="shared" si="2"/>
        <v>179680</v>
      </c>
      <c r="I25" s="257">
        <f t="shared" si="2"/>
        <v>213990</v>
      </c>
      <c r="J25" s="257">
        <f t="shared" si="2"/>
        <v>178670</v>
      </c>
      <c r="K25" s="257">
        <f t="shared" si="2"/>
        <v>287692</v>
      </c>
      <c r="L25" s="257">
        <f t="shared" si="2"/>
        <v>287956</v>
      </c>
      <c r="M25" s="257">
        <f t="shared" si="2"/>
        <v>252482</v>
      </c>
      <c r="N25" s="257">
        <f t="shared" si="2"/>
        <v>325714</v>
      </c>
      <c r="O25" s="257">
        <f t="shared" si="2"/>
        <v>367300</v>
      </c>
      <c r="P25" s="257">
        <f t="shared" si="2"/>
        <v>476764</v>
      </c>
      <c r="Q25" s="257">
        <f t="shared" si="2"/>
        <v>2858638</v>
      </c>
    </row>
    <row r="28" spans="3:17" ht="14.85" customHeight="1" x14ac:dyDescent="0.25">
      <c r="I28" s="378" t="str">
        <f>IF('(HIDE) Data Validation'!B26=0,"","YOU HAVE NOT YET RAISED ENOUGH CAPITAL. YOU STILL NEED $"&amp;TEXT('(HIDE) Data Validation'!B26,"#,##0;;@"))</f>
        <v>YOU HAVE NOT YET RAISED ENOUGH CAPITAL. YOU STILL NEED $275,865</v>
      </c>
      <c r="J28" s="378"/>
      <c r="K28" s="378"/>
      <c r="L28" s="378"/>
      <c r="M28" s="378"/>
      <c r="N28" s="378"/>
      <c r="O28" s="378"/>
      <c r="P28" s="378"/>
    </row>
    <row r="29" spans="3:17" ht="14.85" customHeight="1" x14ac:dyDescent="0.25">
      <c r="F29" s="158"/>
      <c r="I29" s="378"/>
      <c r="J29" s="378"/>
      <c r="K29" s="378"/>
      <c r="L29" s="378"/>
      <c r="M29" s="378"/>
      <c r="N29" s="378"/>
      <c r="O29" s="378"/>
      <c r="P29" s="378"/>
    </row>
    <row r="30" spans="3:17" ht="14.85" customHeight="1" x14ac:dyDescent="0.25">
      <c r="I30" s="378"/>
      <c r="J30" s="378"/>
      <c r="K30" s="378"/>
      <c r="L30" s="378"/>
      <c r="M30" s="378"/>
      <c r="N30" s="378"/>
      <c r="O30" s="378"/>
      <c r="P30" s="378"/>
    </row>
    <row r="31" spans="3:17" ht="14.85" customHeight="1" x14ac:dyDescent="0.25">
      <c r="I31" s="378"/>
      <c r="J31" s="378"/>
      <c r="K31" s="378"/>
      <c r="L31" s="378"/>
      <c r="M31" s="378"/>
      <c r="N31" s="378"/>
      <c r="O31" s="378"/>
      <c r="P31" s="378"/>
    </row>
  </sheetData>
  <sheetProtection algorithmName="SHA-512" hashValue="B5O1N4Gi0Bn1h25sdnjZ2CNohVu5z1WmTuhcS0Lddi6mFYQy6q+2ZolDC7iwmlW5ol0YIHhuZZFG+poKeu3e/A==" saltValue="ozHS4z/qnmeTFpHCFLFTIA==" spinCount="100000" sheet="1" objects="1" scenarios="1" formatColumns="0" formatRows="0" selectLockedCells="1"/>
  <mergeCells count="3">
    <mergeCell ref="C2:Q2"/>
    <mergeCell ref="C3:Q3"/>
    <mergeCell ref="I28:P3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dimension ref="B1:AH45"/>
  <sheetViews>
    <sheetView zoomScale="70" zoomScaleNormal="70" workbookViewId="0">
      <selection activeCell="M27" sqref="M27"/>
    </sheetView>
  </sheetViews>
  <sheetFormatPr defaultColWidth="10.140625" defaultRowHeight="15" x14ac:dyDescent="0.25"/>
  <cols>
    <col min="1" max="1" width="2.7109375" style="1" customWidth="1"/>
    <col min="2" max="2" width="12.7109375" style="1" customWidth="1"/>
    <col min="3" max="3" width="15" style="1" customWidth="1"/>
    <col min="4" max="17" width="16.85546875" style="1" customWidth="1"/>
    <col min="18" max="19" width="12.7109375" style="1" customWidth="1"/>
    <col min="20" max="20" width="15" style="1" customWidth="1"/>
    <col min="21" max="34" width="15.42578125" style="1" customWidth="1"/>
    <col min="35" max="16384" width="10.140625" style="1"/>
  </cols>
  <sheetData>
    <row r="1" spans="2:34" ht="10.15" customHeight="1" x14ac:dyDescent="0.25"/>
    <row r="2" spans="2:34" ht="18.75" x14ac:dyDescent="0.3">
      <c r="B2" s="372" t="str">
        <f>IF('Business Setup'!F3="","UNNAMED",'Business Setup'!F3)</f>
        <v>UNNAMED</v>
      </c>
      <c r="C2" s="373"/>
      <c r="D2" s="373"/>
      <c r="E2" s="373"/>
      <c r="F2" s="373"/>
      <c r="G2" s="373"/>
      <c r="H2" s="373"/>
      <c r="I2" s="373"/>
      <c r="J2" s="373"/>
      <c r="K2" s="373"/>
      <c r="L2" s="373"/>
      <c r="M2" s="373"/>
      <c r="N2" s="373"/>
      <c r="O2" s="373"/>
      <c r="P2" s="373"/>
      <c r="Q2" s="374"/>
      <c r="S2" s="372" t="str">
        <f>IF('Business Setup'!F3="","UNNAMED",'Business Setup'!F3)</f>
        <v>UNNAMED</v>
      </c>
      <c r="T2" s="373"/>
      <c r="U2" s="373"/>
      <c r="V2" s="373"/>
      <c r="W2" s="373"/>
      <c r="X2" s="373"/>
      <c r="Y2" s="373"/>
      <c r="Z2" s="373"/>
      <c r="AA2" s="373"/>
      <c r="AB2" s="373"/>
      <c r="AC2" s="373"/>
      <c r="AD2" s="373"/>
      <c r="AE2" s="373"/>
      <c r="AF2" s="373"/>
      <c r="AG2" s="373"/>
      <c r="AH2" s="374"/>
    </row>
    <row r="3" spans="2:34" ht="18.75" x14ac:dyDescent="0.3">
      <c r="B3" s="388" t="s">
        <v>583</v>
      </c>
      <c r="C3" s="368"/>
      <c r="D3" s="368"/>
      <c r="E3" s="368"/>
      <c r="F3" s="368"/>
      <c r="G3" s="368"/>
      <c r="H3" s="368"/>
      <c r="I3" s="368"/>
      <c r="J3" s="368"/>
      <c r="K3" s="368"/>
      <c r="L3" s="368"/>
      <c r="M3" s="368"/>
      <c r="N3" s="368"/>
      <c r="O3" s="368"/>
      <c r="P3" s="368"/>
      <c r="Q3" s="389"/>
      <c r="S3" s="388" t="str">
        <f>"Schedule of Accounts Receivable for "&amp;'(HIDE) Data Validation'!A7</f>
        <v>Schedule of Accounts Receivable for Burgers</v>
      </c>
      <c r="T3" s="368"/>
      <c r="U3" s="368"/>
      <c r="V3" s="368"/>
      <c r="W3" s="368"/>
      <c r="X3" s="368"/>
      <c r="Y3" s="368"/>
      <c r="Z3" s="368"/>
      <c r="AA3" s="368"/>
      <c r="AB3" s="368"/>
      <c r="AC3" s="368"/>
      <c r="AD3" s="368"/>
      <c r="AE3" s="368"/>
      <c r="AF3" s="368"/>
      <c r="AG3" s="368"/>
      <c r="AH3" s="389"/>
    </row>
    <row r="4" spans="2:34" ht="21" customHeight="1" x14ac:dyDescent="0.3">
      <c r="B4" s="375" t="s">
        <v>521</v>
      </c>
      <c r="C4" s="376"/>
      <c r="D4" s="376"/>
      <c r="E4" s="376"/>
      <c r="F4" s="376"/>
      <c r="G4" s="376"/>
      <c r="H4" s="376"/>
      <c r="I4" s="376"/>
      <c r="J4" s="376"/>
      <c r="K4" s="376"/>
      <c r="L4" s="376"/>
      <c r="M4" s="376"/>
      <c r="N4" s="376"/>
      <c r="O4" s="376"/>
      <c r="P4" s="376"/>
      <c r="Q4" s="377"/>
      <c r="S4" s="375" t="s">
        <v>521</v>
      </c>
      <c r="T4" s="376"/>
      <c r="U4" s="376"/>
      <c r="V4" s="376"/>
      <c r="W4" s="376"/>
      <c r="X4" s="376"/>
      <c r="Y4" s="376"/>
      <c r="Z4" s="376"/>
      <c r="AA4" s="376"/>
      <c r="AB4" s="376"/>
      <c r="AC4" s="376"/>
      <c r="AD4" s="376"/>
      <c r="AE4" s="376"/>
      <c r="AF4" s="376"/>
      <c r="AG4" s="376"/>
      <c r="AH4" s="377"/>
    </row>
    <row r="5" spans="2:34" ht="20.85" customHeight="1" x14ac:dyDescent="0.25">
      <c r="B5" s="380" t="s">
        <v>224</v>
      </c>
      <c r="C5" s="381"/>
      <c r="D5" s="384" t="s">
        <v>575</v>
      </c>
      <c r="E5" s="385"/>
      <c r="F5" s="385"/>
      <c r="G5" s="385"/>
      <c r="H5" s="385"/>
      <c r="I5" s="385"/>
      <c r="J5" s="385"/>
      <c r="K5" s="385"/>
      <c r="L5" s="385"/>
      <c r="M5" s="385"/>
      <c r="N5" s="385"/>
      <c r="O5" s="385"/>
      <c r="P5" s="385"/>
      <c r="Q5" s="386"/>
      <c r="S5" s="380"/>
      <c r="T5" s="381"/>
      <c r="U5" s="384" t="s">
        <v>575</v>
      </c>
      <c r="V5" s="385"/>
      <c r="W5" s="385"/>
      <c r="X5" s="385"/>
      <c r="Y5" s="385"/>
      <c r="Z5" s="385"/>
      <c r="AA5" s="385"/>
      <c r="AB5" s="385"/>
      <c r="AC5" s="385"/>
      <c r="AD5" s="385"/>
      <c r="AE5" s="385"/>
      <c r="AF5" s="385"/>
      <c r="AG5" s="385"/>
      <c r="AH5" s="386"/>
    </row>
    <row r="6" spans="2:34" ht="20.85" customHeight="1" x14ac:dyDescent="0.25">
      <c r="B6" s="382"/>
      <c r="C6" s="383"/>
      <c r="D6" s="190" t="s">
        <v>1</v>
      </c>
      <c r="E6" s="190" t="s">
        <v>2</v>
      </c>
      <c r="F6" s="190" t="s">
        <v>3</v>
      </c>
      <c r="G6" s="190" t="s">
        <v>4</v>
      </c>
      <c r="H6" s="190" t="s">
        <v>5</v>
      </c>
      <c r="I6" s="190" t="s">
        <v>6</v>
      </c>
      <c r="J6" s="190" t="s">
        <v>7</v>
      </c>
      <c r="K6" s="190" t="s">
        <v>8</v>
      </c>
      <c r="L6" s="190" t="s">
        <v>9</v>
      </c>
      <c r="M6" s="190" t="s">
        <v>10</v>
      </c>
      <c r="N6" s="190" t="s">
        <v>11</v>
      </c>
      <c r="O6" s="190" t="s">
        <v>12</v>
      </c>
      <c r="P6" s="190" t="s">
        <v>1</v>
      </c>
      <c r="Q6" s="190" t="s">
        <v>2</v>
      </c>
      <c r="S6" s="382" t="s">
        <v>224</v>
      </c>
      <c r="T6" s="383"/>
      <c r="U6" s="190" t="s">
        <v>1</v>
      </c>
      <c r="V6" s="190" t="s">
        <v>2</v>
      </c>
      <c r="W6" s="190" t="s">
        <v>3</v>
      </c>
      <c r="X6" s="190" t="s">
        <v>4</v>
      </c>
      <c r="Y6" s="190" t="s">
        <v>5</v>
      </c>
      <c r="Z6" s="190" t="s">
        <v>6</v>
      </c>
      <c r="AA6" s="190" t="s">
        <v>7</v>
      </c>
      <c r="AB6" s="190" t="s">
        <v>8</v>
      </c>
      <c r="AC6" s="190" t="s">
        <v>9</v>
      </c>
      <c r="AD6" s="190" t="s">
        <v>10</v>
      </c>
      <c r="AE6" s="190" t="s">
        <v>11</v>
      </c>
      <c r="AF6" s="190" t="s">
        <v>12</v>
      </c>
      <c r="AG6" s="190" t="s">
        <v>1</v>
      </c>
      <c r="AH6" s="190" t="s">
        <v>2</v>
      </c>
    </row>
    <row r="7" spans="2:34" x14ac:dyDescent="0.25">
      <c r="B7" s="186"/>
      <c r="C7" s="187"/>
      <c r="D7" s="188" t="s">
        <v>38</v>
      </c>
      <c r="E7" s="188" t="s">
        <v>38</v>
      </c>
      <c r="F7" s="188" t="s">
        <v>38</v>
      </c>
      <c r="G7" s="188" t="s">
        <v>38</v>
      </c>
      <c r="H7" s="188" t="s">
        <v>38</v>
      </c>
      <c r="I7" s="188" t="s">
        <v>38</v>
      </c>
      <c r="J7" s="188" t="s">
        <v>38</v>
      </c>
      <c r="K7" s="188" t="s">
        <v>38</v>
      </c>
      <c r="L7" s="188" t="s">
        <v>38</v>
      </c>
      <c r="M7" s="188" t="s">
        <v>38</v>
      </c>
      <c r="N7" s="188" t="s">
        <v>38</v>
      </c>
      <c r="O7" s="188" t="s">
        <v>38</v>
      </c>
      <c r="P7" s="188" t="s">
        <v>38</v>
      </c>
      <c r="Q7" s="188" t="s">
        <v>38</v>
      </c>
      <c r="S7" s="186"/>
      <c r="T7" s="187"/>
      <c r="U7" s="188" t="s">
        <v>38</v>
      </c>
      <c r="V7" s="188" t="s">
        <v>38</v>
      </c>
      <c r="W7" s="188" t="s">
        <v>38</v>
      </c>
      <c r="X7" s="188" t="s">
        <v>38</v>
      </c>
      <c r="Y7" s="188" t="s">
        <v>38</v>
      </c>
      <c r="Z7" s="188" t="s">
        <v>38</v>
      </c>
      <c r="AA7" s="188" t="s">
        <v>38</v>
      </c>
      <c r="AB7" s="188" t="s">
        <v>38</v>
      </c>
      <c r="AC7" s="188" t="s">
        <v>38</v>
      </c>
      <c r="AD7" s="188" t="s">
        <v>38</v>
      </c>
      <c r="AE7" s="188" t="s">
        <v>38</v>
      </c>
      <c r="AF7" s="188" t="s">
        <v>38</v>
      </c>
      <c r="AG7" s="188" t="s">
        <v>38</v>
      </c>
      <c r="AH7" s="188" t="s">
        <v>38</v>
      </c>
    </row>
    <row r="8" spans="2:34" x14ac:dyDescent="0.25">
      <c r="B8" s="191" t="s">
        <v>1</v>
      </c>
      <c r="C8" s="192">
        <f>'(HIDE) Data Validation'!M75</f>
        <v>18294</v>
      </c>
      <c r="D8" s="193">
        <f>'(HIDE) Data Validation'!N75</f>
        <v>3658.8</v>
      </c>
      <c r="E8" s="193">
        <f>'(HIDE) Data Validation'!O75</f>
        <v>9147</v>
      </c>
      <c r="F8" s="193">
        <f>'(HIDE) Data Validation'!P75</f>
        <v>5488.2000000000007</v>
      </c>
      <c r="G8" s="193">
        <f>'(HIDE) Data Validation'!Q75</f>
        <v>0</v>
      </c>
      <c r="H8" s="193">
        <f>'(HIDE) Data Validation'!R75</f>
        <v>0</v>
      </c>
      <c r="I8" s="193">
        <f>'(HIDE) Data Validation'!S75</f>
        <v>0</v>
      </c>
      <c r="J8" s="193">
        <f>'(HIDE) Data Validation'!T75</f>
        <v>0</v>
      </c>
      <c r="K8" s="193">
        <f>'(HIDE) Data Validation'!U75</f>
        <v>0</v>
      </c>
      <c r="L8" s="193">
        <f>'(HIDE) Data Validation'!V75</f>
        <v>0</v>
      </c>
      <c r="M8" s="193">
        <f>'(HIDE) Data Validation'!W75</f>
        <v>0</v>
      </c>
      <c r="N8" s="193">
        <f>'(HIDE) Data Validation'!X75</f>
        <v>0</v>
      </c>
      <c r="O8" s="193">
        <f>'(HIDE) Data Validation'!Y75</f>
        <v>0</v>
      </c>
      <c r="P8" s="193">
        <f>'(HIDE) Data Validation'!Z75</f>
        <v>0</v>
      </c>
      <c r="Q8" s="193">
        <f>'(HIDE) Data Validation'!AA75</f>
        <v>0</v>
      </c>
      <c r="S8" s="191" t="s">
        <v>1</v>
      </c>
      <c r="T8" s="192">
        <f>'(HIDE) Data Validation'!M89</f>
        <v>18294</v>
      </c>
      <c r="U8" s="193">
        <f>'(HIDE) Data Validation'!N89</f>
        <v>3658.8</v>
      </c>
      <c r="V8" s="193">
        <f>'(HIDE) Data Validation'!O89</f>
        <v>9147</v>
      </c>
      <c r="W8" s="193">
        <f>'(HIDE) Data Validation'!P89</f>
        <v>5488.2000000000007</v>
      </c>
      <c r="X8" s="193">
        <f>'(HIDE) Data Validation'!Q89</f>
        <v>0</v>
      </c>
      <c r="Y8" s="193">
        <f>'(HIDE) Data Validation'!R89</f>
        <v>0</v>
      </c>
      <c r="Z8" s="193">
        <f>'(HIDE) Data Validation'!S89</f>
        <v>0</v>
      </c>
      <c r="AA8" s="193">
        <f>'(HIDE) Data Validation'!T89</f>
        <v>0</v>
      </c>
      <c r="AB8" s="193">
        <f>'(HIDE) Data Validation'!U89</f>
        <v>0</v>
      </c>
      <c r="AC8" s="193">
        <f>'(HIDE) Data Validation'!V89</f>
        <v>0</v>
      </c>
      <c r="AD8" s="193">
        <f>'(HIDE) Data Validation'!W89</f>
        <v>0</v>
      </c>
      <c r="AE8" s="193">
        <f>'(HIDE) Data Validation'!X89</f>
        <v>0</v>
      </c>
      <c r="AF8" s="193">
        <f>'(HIDE) Data Validation'!Y89</f>
        <v>0</v>
      </c>
      <c r="AG8" s="193">
        <f>'(HIDE) Data Validation'!Z89</f>
        <v>0</v>
      </c>
      <c r="AH8" s="193">
        <f>'(HIDE) Data Validation'!AA89</f>
        <v>0</v>
      </c>
    </row>
    <row r="9" spans="2:34" x14ac:dyDescent="0.25">
      <c r="B9" s="22" t="s">
        <v>2</v>
      </c>
      <c r="C9" s="183">
        <f>'(HIDE) Data Validation'!M76</f>
        <v>32247</v>
      </c>
      <c r="D9" s="37">
        <f>'(HIDE) Data Validation'!N76</f>
        <v>0</v>
      </c>
      <c r="E9" s="37">
        <f>'(HIDE) Data Validation'!O76</f>
        <v>6449.4</v>
      </c>
      <c r="F9" s="37">
        <f>'(HIDE) Data Validation'!P76</f>
        <v>16123.5</v>
      </c>
      <c r="G9" s="37">
        <f>'(HIDE) Data Validation'!Q76</f>
        <v>9674.0999999999985</v>
      </c>
      <c r="H9" s="37">
        <f>'(HIDE) Data Validation'!R76</f>
        <v>0</v>
      </c>
      <c r="I9" s="37">
        <f>'(HIDE) Data Validation'!S76</f>
        <v>0</v>
      </c>
      <c r="J9" s="37">
        <f>'(HIDE) Data Validation'!T76</f>
        <v>0</v>
      </c>
      <c r="K9" s="37">
        <f>'(HIDE) Data Validation'!U76</f>
        <v>0</v>
      </c>
      <c r="L9" s="37">
        <f>'(HIDE) Data Validation'!V76</f>
        <v>0</v>
      </c>
      <c r="M9" s="37">
        <f>'(HIDE) Data Validation'!W76</f>
        <v>0</v>
      </c>
      <c r="N9" s="37">
        <f>'(HIDE) Data Validation'!X76</f>
        <v>0</v>
      </c>
      <c r="O9" s="37">
        <f>'(HIDE) Data Validation'!Y76</f>
        <v>0</v>
      </c>
      <c r="P9" s="37">
        <f>'(HIDE) Data Validation'!Z76</f>
        <v>0</v>
      </c>
      <c r="Q9" s="37">
        <f>'(HIDE) Data Validation'!AA76</f>
        <v>0</v>
      </c>
      <c r="S9" s="22" t="s">
        <v>2</v>
      </c>
      <c r="T9" s="37">
        <f>'(HIDE) Data Validation'!M90</f>
        <v>32247</v>
      </c>
      <c r="U9" s="37">
        <f>'(HIDE) Data Validation'!N90</f>
        <v>0</v>
      </c>
      <c r="V9" s="37">
        <f>'(HIDE) Data Validation'!O90</f>
        <v>6449.4</v>
      </c>
      <c r="W9" s="37">
        <f>'(HIDE) Data Validation'!P90</f>
        <v>16123.5</v>
      </c>
      <c r="X9" s="37">
        <f>'(HIDE) Data Validation'!Q90</f>
        <v>9674.0999999999985</v>
      </c>
      <c r="Y9" s="37">
        <f>'(HIDE) Data Validation'!R90</f>
        <v>0</v>
      </c>
      <c r="Z9" s="37">
        <f>'(HIDE) Data Validation'!S90</f>
        <v>0</v>
      </c>
      <c r="AA9" s="37">
        <f>'(HIDE) Data Validation'!T90</f>
        <v>0</v>
      </c>
      <c r="AB9" s="37">
        <f>'(HIDE) Data Validation'!U90</f>
        <v>0</v>
      </c>
      <c r="AC9" s="37">
        <f>'(HIDE) Data Validation'!V90</f>
        <v>0</v>
      </c>
      <c r="AD9" s="37">
        <f>'(HIDE) Data Validation'!W90</f>
        <v>0</v>
      </c>
      <c r="AE9" s="37">
        <f>'(HIDE) Data Validation'!X90</f>
        <v>0</v>
      </c>
      <c r="AF9" s="37">
        <f>'(HIDE) Data Validation'!Y90</f>
        <v>0</v>
      </c>
      <c r="AG9" s="37">
        <f>'(HIDE) Data Validation'!Z90</f>
        <v>0</v>
      </c>
      <c r="AH9" s="37">
        <f>'(HIDE) Data Validation'!AA90</f>
        <v>0</v>
      </c>
    </row>
    <row r="10" spans="2:34" x14ac:dyDescent="0.25">
      <c r="B10" s="191" t="s">
        <v>3</v>
      </c>
      <c r="C10" s="192">
        <f>'(HIDE) Data Validation'!M77</f>
        <v>35976</v>
      </c>
      <c r="D10" s="193">
        <f>'(HIDE) Data Validation'!N77</f>
        <v>0</v>
      </c>
      <c r="E10" s="193">
        <f>'(HIDE) Data Validation'!O77</f>
        <v>0</v>
      </c>
      <c r="F10" s="193">
        <f>'(HIDE) Data Validation'!P77</f>
        <v>7195.2</v>
      </c>
      <c r="G10" s="193">
        <f>'(HIDE) Data Validation'!Q77</f>
        <v>17988</v>
      </c>
      <c r="H10" s="193">
        <f>'(HIDE) Data Validation'!R77</f>
        <v>10792.8</v>
      </c>
      <c r="I10" s="193">
        <f>'(HIDE) Data Validation'!S77</f>
        <v>0</v>
      </c>
      <c r="J10" s="193">
        <f>'(HIDE) Data Validation'!T77</f>
        <v>0</v>
      </c>
      <c r="K10" s="193">
        <f>'(HIDE) Data Validation'!U77</f>
        <v>0</v>
      </c>
      <c r="L10" s="193">
        <f>'(HIDE) Data Validation'!V77</f>
        <v>0</v>
      </c>
      <c r="M10" s="193">
        <f>'(HIDE) Data Validation'!W77</f>
        <v>0</v>
      </c>
      <c r="N10" s="193">
        <f>'(HIDE) Data Validation'!X77</f>
        <v>0</v>
      </c>
      <c r="O10" s="193">
        <f>'(HIDE) Data Validation'!Y77</f>
        <v>0</v>
      </c>
      <c r="P10" s="193">
        <f>'(HIDE) Data Validation'!Z77</f>
        <v>0</v>
      </c>
      <c r="Q10" s="193">
        <f>'(HIDE) Data Validation'!AA77</f>
        <v>0</v>
      </c>
      <c r="S10" s="191" t="s">
        <v>3</v>
      </c>
      <c r="T10" s="192">
        <f>'(HIDE) Data Validation'!M91</f>
        <v>35976</v>
      </c>
      <c r="U10" s="193">
        <f>'(HIDE) Data Validation'!N91</f>
        <v>0</v>
      </c>
      <c r="V10" s="193">
        <f>'(HIDE) Data Validation'!O91</f>
        <v>0</v>
      </c>
      <c r="W10" s="193">
        <f>'(HIDE) Data Validation'!P91</f>
        <v>7195.2</v>
      </c>
      <c r="X10" s="193">
        <f>'(HIDE) Data Validation'!Q91</f>
        <v>17988</v>
      </c>
      <c r="Y10" s="193">
        <f>'(HIDE) Data Validation'!R91</f>
        <v>10792.8</v>
      </c>
      <c r="Z10" s="193">
        <f>'(HIDE) Data Validation'!S91</f>
        <v>0</v>
      </c>
      <c r="AA10" s="193">
        <f>'(HIDE) Data Validation'!T91</f>
        <v>0</v>
      </c>
      <c r="AB10" s="193">
        <f>'(HIDE) Data Validation'!U91</f>
        <v>0</v>
      </c>
      <c r="AC10" s="193">
        <f>'(HIDE) Data Validation'!V91</f>
        <v>0</v>
      </c>
      <c r="AD10" s="193">
        <f>'(HIDE) Data Validation'!W91</f>
        <v>0</v>
      </c>
      <c r="AE10" s="193">
        <f>'(HIDE) Data Validation'!X91</f>
        <v>0</v>
      </c>
      <c r="AF10" s="193">
        <f>'(HIDE) Data Validation'!Y91</f>
        <v>0</v>
      </c>
      <c r="AG10" s="193">
        <f>'(HIDE) Data Validation'!Z91</f>
        <v>0</v>
      </c>
      <c r="AH10" s="193">
        <f>'(HIDE) Data Validation'!AA91</f>
        <v>0</v>
      </c>
    </row>
    <row r="11" spans="2:34" x14ac:dyDescent="0.25">
      <c r="B11" s="22" t="s">
        <v>4</v>
      </c>
      <c r="C11" s="183">
        <f>'(HIDE) Data Validation'!M78</f>
        <v>53904</v>
      </c>
      <c r="D11" s="37">
        <f>'(HIDE) Data Validation'!N78</f>
        <v>0</v>
      </c>
      <c r="E11" s="37">
        <f>'(HIDE) Data Validation'!O78</f>
        <v>0</v>
      </c>
      <c r="F11" s="37">
        <f>'(HIDE) Data Validation'!P78</f>
        <v>0</v>
      </c>
      <c r="G11" s="37">
        <f>'(HIDE) Data Validation'!Q78</f>
        <v>10780.8</v>
      </c>
      <c r="H11" s="37">
        <f>'(HIDE) Data Validation'!R78</f>
        <v>26952</v>
      </c>
      <c r="I11" s="37">
        <f>'(HIDE) Data Validation'!S78</f>
        <v>16171.199999999997</v>
      </c>
      <c r="J11" s="37">
        <f>'(HIDE) Data Validation'!T78</f>
        <v>0</v>
      </c>
      <c r="K11" s="37">
        <f>'(HIDE) Data Validation'!U78</f>
        <v>0</v>
      </c>
      <c r="L11" s="37">
        <f>'(HIDE) Data Validation'!V78</f>
        <v>0</v>
      </c>
      <c r="M11" s="37">
        <f>'(HIDE) Data Validation'!W78</f>
        <v>0</v>
      </c>
      <c r="N11" s="37">
        <f>'(HIDE) Data Validation'!X78</f>
        <v>0</v>
      </c>
      <c r="O11" s="37">
        <f>'(HIDE) Data Validation'!Y78</f>
        <v>0</v>
      </c>
      <c r="P11" s="37">
        <f>'(HIDE) Data Validation'!Z78</f>
        <v>0</v>
      </c>
      <c r="Q11" s="37">
        <f>'(HIDE) Data Validation'!AA78</f>
        <v>0</v>
      </c>
      <c r="S11" s="22" t="s">
        <v>4</v>
      </c>
      <c r="T11" s="37">
        <f>'(HIDE) Data Validation'!M92</f>
        <v>53904</v>
      </c>
      <c r="U11" s="37">
        <f>'(HIDE) Data Validation'!N92</f>
        <v>0</v>
      </c>
      <c r="V11" s="37">
        <f>'(HIDE) Data Validation'!O92</f>
        <v>0</v>
      </c>
      <c r="W11" s="37">
        <f>'(HIDE) Data Validation'!P92</f>
        <v>0</v>
      </c>
      <c r="X11" s="37">
        <f>'(HIDE) Data Validation'!Q92</f>
        <v>10780.8</v>
      </c>
      <c r="Y11" s="37">
        <f>'(HIDE) Data Validation'!R92</f>
        <v>26952</v>
      </c>
      <c r="Z11" s="37">
        <f>'(HIDE) Data Validation'!S92</f>
        <v>16171.199999999997</v>
      </c>
      <c r="AA11" s="37">
        <f>'(HIDE) Data Validation'!T92</f>
        <v>0</v>
      </c>
      <c r="AB11" s="37">
        <f>'(HIDE) Data Validation'!U92</f>
        <v>0</v>
      </c>
      <c r="AC11" s="37">
        <f>'(HIDE) Data Validation'!V92</f>
        <v>0</v>
      </c>
      <c r="AD11" s="37">
        <f>'(HIDE) Data Validation'!W92</f>
        <v>0</v>
      </c>
      <c r="AE11" s="37">
        <f>'(HIDE) Data Validation'!X92</f>
        <v>0</v>
      </c>
      <c r="AF11" s="37">
        <f>'(HIDE) Data Validation'!Y92</f>
        <v>0</v>
      </c>
      <c r="AG11" s="37">
        <f>'(HIDE) Data Validation'!Z92</f>
        <v>0</v>
      </c>
      <c r="AH11" s="37">
        <f>'(HIDE) Data Validation'!AA92</f>
        <v>0</v>
      </c>
    </row>
    <row r="12" spans="2:34" x14ac:dyDescent="0.25">
      <c r="B12" s="191" t="s">
        <v>5</v>
      </c>
      <c r="C12" s="192">
        <f>'(HIDE) Data Validation'!M79</f>
        <v>64197</v>
      </c>
      <c r="D12" s="193">
        <f>'(HIDE) Data Validation'!N79</f>
        <v>0</v>
      </c>
      <c r="E12" s="193">
        <f>'(HIDE) Data Validation'!O79</f>
        <v>0</v>
      </c>
      <c r="F12" s="193">
        <f>'(HIDE) Data Validation'!P79</f>
        <v>0</v>
      </c>
      <c r="G12" s="193">
        <f>'(HIDE) Data Validation'!Q79</f>
        <v>0</v>
      </c>
      <c r="H12" s="193">
        <f>'(HIDE) Data Validation'!R79</f>
        <v>12839.4</v>
      </c>
      <c r="I12" s="193">
        <f>'(HIDE) Data Validation'!S79</f>
        <v>32098.5</v>
      </c>
      <c r="J12" s="193">
        <f>'(HIDE) Data Validation'!T79</f>
        <v>19259.099999999999</v>
      </c>
      <c r="K12" s="193">
        <f>'(HIDE) Data Validation'!U79</f>
        <v>0</v>
      </c>
      <c r="L12" s="193">
        <f>'(HIDE) Data Validation'!V79</f>
        <v>0</v>
      </c>
      <c r="M12" s="193">
        <f>'(HIDE) Data Validation'!W79</f>
        <v>0</v>
      </c>
      <c r="N12" s="193">
        <f>'(HIDE) Data Validation'!X79</f>
        <v>0</v>
      </c>
      <c r="O12" s="193">
        <f>'(HIDE) Data Validation'!Y79</f>
        <v>0</v>
      </c>
      <c r="P12" s="193">
        <f>'(HIDE) Data Validation'!Z79</f>
        <v>0</v>
      </c>
      <c r="Q12" s="193">
        <f>'(HIDE) Data Validation'!AA79</f>
        <v>0</v>
      </c>
      <c r="S12" s="191" t="s">
        <v>5</v>
      </c>
      <c r="T12" s="192">
        <f>'(HIDE) Data Validation'!M93</f>
        <v>64197</v>
      </c>
      <c r="U12" s="193">
        <f>'(HIDE) Data Validation'!N93</f>
        <v>0</v>
      </c>
      <c r="V12" s="193">
        <f>'(HIDE) Data Validation'!O93</f>
        <v>0</v>
      </c>
      <c r="W12" s="193">
        <f>'(HIDE) Data Validation'!P93</f>
        <v>0</v>
      </c>
      <c r="X12" s="193">
        <f>'(HIDE) Data Validation'!Q93</f>
        <v>0</v>
      </c>
      <c r="Y12" s="193">
        <f>'(HIDE) Data Validation'!R93</f>
        <v>12839.4</v>
      </c>
      <c r="Z12" s="193">
        <f>'(HIDE) Data Validation'!S93</f>
        <v>32098.5</v>
      </c>
      <c r="AA12" s="193">
        <f>'(HIDE) Data Validation'!T93</f>
        <v>19259.099999999999</v>
      </c>
      <c r="AB12" s="193">
        <f>'(HIDE) Data Validation'!U93</f>
        <v>0</v>
      </c>
      <c r="AC12" s="193">
        <f>'(HIDE) Data Validation'!V93</f>
        <v>0</v>
      </c>
      <c r="AD12" s="193">
        <f>'(HIDE) Data Validation'!W93</f>
        <v>0</v>
      </c>
      <c r="AE12" s="193">
        <f>'(HIDE) Data Validation'!X93</f>
        <v>0</v>
      </c>
      <c r="AF12" s="193">
        <f>'(HIDE) Data Validation'!Y93</f>
        <v>0</v>
      </c>
      <c r="AG12" s="193">
        <f>'(HIDE) Data Validation'!Z93</f>
        <v>0</v>
      </c>
      <c r="AH12" s="193">
        <f>'(HIDE) Data Validation'!AA93</f>
        <v>0</v>
      </c>
    </row>
    <row r="13" spans="2:34" x14ac:dyDescent="0.25">
      <c r="B13" s="22" t="s">
        <v>6</v>
      </c>
      <c r="C13" s="183">
        <f>'(HIDE) Data Validation'!M80</f>
        <v>53601</v>
      </c>
      <c r="D13" s="37">
        <f>'(HIDE) Data Validation'!N80</f>
        <v>0</v>
      </c>
      <c r="E13" s="37">
        <f>'(HIDE) Data Validation'!O80</f>
        <v>0</v>
      </c>
      <c r="F13" s="37">
        <f>'(HIDE) Data Validation'!P80</f>
        <v>0</v>
      </c>
      <c r="G13" s="37">
        <f>'(HIDE) Data Validation'!Q80</f>
        <v>0</v>
      </c>
      <c r="H13" s="37">
        <f>'(HIDE) Data Validation'!R80</f>
        <v>0</v>
      </c>
      <c r="I13" s="37">
        <f>'(HIDE) Data Validation'!S80</f>
        <v>10720.2</v>
      </c>
      <c r="J13" s="37">
        <f>'(HIDE) Data Validation'!T80</f>
        <v>26800.5</v>
      </c>
      <c r="K13" s="37">
        <f>'(HIDE) Data Validation'!U80</f>
        <v>16080.300000000003</v>
      </c>
      <c r="L13" s="37">
        <f>'(HIDE) Data Validation'!V80</f>
        <v>0</v>
      </c>
      <c r="M13" s="37">
        <f>'(HIDE) Data Validation'!W80</f>
        <v>0</v>
      </c>
      <c r="N13" s="37">
        <f>'(HIDE) Data Validation'!X80</f>
        <v>0</v>
      </c>
      <c r="O13" s="37">
        <f>'(HIDE) Data Validation'!Y80</f>
        <v>0</v>
      </c>
      <c r="P13" s="37">
        <f>'(HIDE) Data Validation'!Z80</f>
        <v>0</v>
      </c>
      <c r="Q13" s="37">
        <f>'(HIDE) Data Validation'!AA80</f>
        <v>0</v>
      </c>
      <c r="S13" s="22" t="s">
        <v>6</v>
      </c>
      <c r="T13" s="37">
        <f>'(HIDE) Data Validation'!M94</f>
        <v>53601</v>
      </c>
      <c r="U13" s="37">
        <f>'(HIDE) Data Validation'!N94</f>
        <v>0</v>
      </c>
      <c r="V13" s="37">
        <f>'(HIDE) Data Validation'!O94</f>
        <v>0</v>
      </c>
      <c r="W13" s="37">
        <f>'(HIDE) Data Validation'!P94</f>
        <v>0</v>
      </c>
      <c r="X13" s="37">
        <f>'(HIDE) Data Validation'!Q94</f>
        <v>0</v>
      </c>
      <c r="Y13" s="37">
        <f>'(HIDE) Data Validation'!R94</f>
        <v>0</v>
      </c>
      <c r="Z13" s="37">
        <f>'(HIDE) Data Validation'!S94</f>
        <v>10720.2</v>
      </c>
      <c r="AA13" s="37">
        <f>'(HIDE) Data Validation'!T94</f>
        <v>26800.5</v>
      </c>
      <c r="AB13" s="37">
        <f>'(HIDE) Data Validation'!U94</f>
        <v>16080.300000000003</v>
      </c>
      <c r="AC13" s="37">
        <f>'(HIDE) Data Validation'!V94</f>
        <v>0</v>
      </c>
      <c r="AD13" s="37">
        <f>'(HIDE) Data Validation'!W94</f>
        <v>0</v>
      </c>
      <c r="AE13" s="37">
        <f>'(HIDE) Data Validation'!X94</f>
        <v>0</v>
      </c>
      <c r="AF13" s="37">
        <f>'(HIDE) Data Validation'!Y94</f>
        <v>0</v>
      </c>
      <c r="AG13" s="37">
        <f>'(HIDE) Data Validation'!Z94</f>
        <v>0</v>
      </c>
      <c r="AH13" s="37">
        <f>'(HIDE) Data Validation'!AA94</f>
        <v>0</v>
      </c>
    </row>
    <row r="14" spans="2:34" x14ac:dyDescent="0.25">
      <c r="B14" s="191" t="s">
        <v>7</v>
      </c>
      <c r="C14" s="192">
        <f>'(HIDE) Data Validation'!M81</f>
        <v>86307.6</v>
      </c>
      <c r="D14" s="193">
        <f>'(HIDE) Data Validation'!N81</f>
        <v>0</v>
      </c>
      <c r="E14" s="193">
        <f>'(HIDE) Data Validation'!O81</f>
        <v>0</v>
      </c>
      <c r="F14" s="193">
        <f>'(HIDE) Data Validation'!P81</f>
        <v>0</v>
      </c>
      <c r="G14" s="193">
        <f>'(HIDE) Data Validation'!Q81</f>
        <v>0</v>
      </c>
      <c r="H14" s="193">
        <f>'(HIDE) Data Validation'!R81</f>
        <v>0</v>
      </c>
      <c r="I14" s="193">
        <f>'(HIDE) Data Validation'!S81</f>
        <v>0</v>
      </c>
      <c r="J14" s="193">
        <f>'(HIDE) Data Validation'!T81</f>
        <v>17261.52</v>
      </c>
      <c r="K14" s="193">
        <f>'(HIDE) Data Validation'!U81</f>
        <v>43153.8</v>
      </c>
      <c r="L14" s="193">
        <f>'(HIDE) Data Validation'!V81</f>
        <v>25892.28</v>
      </c>
      <c r="M14" s="193">
        <f>'(HIDE) Data Validation'!W81</f>
        <v>0</v>
      </c>
      <c r="N14" s="193">
        <f>'(HIDE) Data Validation'!X81</f>
        <v>0</v>
      </c>
      <c r="O14" s="193">
        <f>'(HIDE) Data Validation'!Y81</f>
        <v>0</v>
      </c>
      <c r="P14" s="193">
        <f>'(HIDE) Data Validation'!Z81</f>
        <v>0</v>
      </c>
      <c r="Q14" s="193">
        <f>'(HIDE) Data Validation'!AA81</f>
        <v>0</v>
      </c>
      <c r="S14" s="191" t="s">
        <v>7</v>
      </c>
      <c r="T14" s="192">
        <f>'(HIDE) Data Validation'!M95</f>
        <v>71748</v>
      </c>
      <c r="U14" s="193">
        <f>'(HIDE) Data Validation'!N95</f>
        <v>0</v>
      </c>
      <c r="V14" s="193">
        <f>'(HIDE) Data Validation'!O95</f>
        <v>0</v>
      </c>
      <c r="W14" s="193">
        <f>'(HIDE) Data Validation'!P95</f>
        <v>0</v>
      </c>
      <c r="X14" s="193">
        <f>'(HIDE) Data Validation'!Q95</f>
        <v>0</v>
      </c>
      <c r="Y14" s="193">
        <f>'(HIDE) Data Validation'!R95</f>
        <v>0</v>
      </c>
      <c r="Z14" s="193">
        <f>'(HIDE) Data Validation'!S95</f>
        <v>0</v>
      </c>
      <c r="AA14" s="193">
        <f>'(HIDE) Data Validation'!T95</f>
        <v>14349.6</v>
      </c>
      <c r="AB14" s="193">
        <f>'(HIDE) Data Validation'!U95</f>
        <v>35874</v>
      </c>
      <c r="AC14" s="193">
        <f>'(HIDE) Data Validation'!V95</f>
        <v>21524.400000000001</v>
      </c>
      <c r="AD14" s="193">
        <f>'(HIDE) Data Validation'!W95</f>
        <v>0</v>
      </c>
      <c r="AE14" s="193">
        <f>'(HIDE) Data Validation'!X95</f>
        <v>0</v>
      </c>
      <c r="AF14" s="193">
        <f>'(HIDE) Data Validation'!Y95</f>
        <v>0</v>
      </c>
      <c r="AG14" s="193">
        <f>'(HIDE) Data Validation'!Z95</f>
        <v>0</v>
      </c>
      <c r="AH14" s="193">
        <f>'(HIDE) Data Validation'!AA95</f>
        <v>0</v>
      </c>
    </row>
    <row r="15" spans="2:34" x14ac:dyDescent="0.25">
      <c r="B15" s="22" t="s">
        <v>8</v>
      </c>
      <c r="C15" s="183">
        <f>'(HIDE) Data Validation'!M82</f>
        <v>86386.8</v>
      </c>
      <c r="D15" s="37">
        <f>'(HIDE) Data Validation'!N82</f>
        <v>0</v>
      </c>
      <c r="E15" s="37">
        <f>'(HIDE) Data Validation'!O82</f>
        <v>0</v>
      </c>
      <c r="F15" s="37">
        <f>'(HIDE) Data Validation'!P82</f>
        <v>0</v>
      </c>
      <c r="G15" s="37">
        <f>'(HIDE) Data Validation'!Q82</f>
        <v>0</v>
      </c>
      <c r="H15" s="37">
        <f>'(HIDE) Data Validation'!R82</f>
        <v>0</v>
      </c>
      <c r="I15" s="37">
        <f>'(HIDE) Data Validation'!S82</f>
        <v>0</v>
      </c>
      <c r="J15" s="37">
        <f>'(HIDE) Data Validation'!T82</f>
        <v>0</v>
      </c>
      <c r="K15" s="37">
        <f>'(HIDE) Data Validation'!U82</f>
        <v>17277.36</v>
      </c>
      <c r="L15" s="37">
        <f>'(HIDE) Data Validation'!V82</f>
        <v>43193.4</v>
      </c>
      <c r="M15" s="37">
        <f>'(HIDE) Data Validation'!W82</f>
        <v>25916.04</v>
      </c>
      <c r="N15" s="37">
        <f>'(HIDE) Data Validation'!X82</f>
        <v>0</v>
      </c>
      <c r="O15" s="37">
        <f>'(HIDE) Data Validation'!Y82</f>
        <v>0</v>
      </c>
      <c r="P15" s="37">
        <f>'(HIDE) Data Validation'!Z82</f>
        <v>0</v>
      </c>
      <c r="Q15" s="37">
        <f>'(HIDE) Data Validation'!AA82</f>
        <v>0</v>
      </c>
      <c r="S15" s="22" t="s">
        <v>8</v>
      </c>
      <c r="T15" s="37">
        <f>'(HIDE) Data Validation'!M96</f>
        <v>71814</v>
      </c>
      <c r="U15" s="37">
        <f>'(HIDE) Data Validation'!N96</f>
        <v>0</v>
      </c>
      <c r="V15" s="37">
        <f>'(HIDE) Data Validation'!O96</f>
        <v>0</v>
      </c>
      <c r="W15" s="37">
        <f>'(HIDE) Data Validation'!P96</f>
        <v>0</v>
      </c>
      <c r="X15" s="37">
        <f>'(HIDE) Data Validation'!Q96</f>
        <v>0</v>
      </c>
      <c r="Y15" s="37">
        <f>'(HIDE) Data Validation'!R96</f>
        <v>0</v>
      </c>
      <c r="Z15" s="37">
        <f>'(HIDE) Data Validation'!S96</f>
        <v>0</v>
      </c>
      <c r="AA15" s="37">
        <f>'(HIDE) Data Validation'!T96</f>
        <v>0</v>
      </c>
      <c r="AB15" s="37">
        <f>'(HIDE) Data Validation'!U96</f>
        <v>14362.8</v>
      </c>
      <c r="AC15" s="37">
        <f>'(HIDE) Data Validation'!V96</f>
        <v>35907</v>
      </c>
      <c r="AD15" s="37">
        <f>'(HIDE) Data Validation'!W96</f>
        <v>21544.199999999997</v>
      </c>
      <c r="AE15" s="37">
        <f>'(HIDE) Data Validation'!X96</f>
        <v>0</v>
      </c>
      <c r="AF15" s="37">
        <f>'(HIDE) Data Validation'!Y96</f>
        <v>0</v>
      </c>
      <c r="AG15" s="37">
        <f>'(HIDE) Data Validation'!Z96</f>
        <v>0</v>
      </c>
      <c r="AH15" s="37">
        <f>'(HIDE) Data Validation'!AA96</f>
        <v>0</v>
      </c>
    </row>
    <row r="16" spans="2:34" x14ac:dyDescent="0.25">
      <c r="B16" s="191" t="s">
        <v>9</v>
      </c>
      <c r="C16" s="192">
        <f>'(HIDE) Data Validation'!M83</f>
        <v>75744.600000000006</v>
      </c>
      <c r="D16" s="193">
        <f>'(HIDE) Data Validation'!N83</f>
        <v>0</v>
      </c>
      <c r="E16" s="193">
        <f>'(HIDE) Data Validation'!O83</f>
        <v>0</v>
      </c>
      <c r="F16" s="193">
        <f>'(HIDE) Data Validation'!P83</f>
        <v>0</v>
      </c>
      <c r="G16" s="193">
        <f>'(HIDE) Data Validation'!Q83</f>
        <v>0</v>
      </c>
      <c r="H16" s="193">
        <f>'(HIDE) Data Validation'!R83</f>
        <v>0</v>
      </c>
      <c r="I16" s="193">
        <f>'(HIDE) Data Validation'!S83</f>
        <v>0</v>
      </c>
      <c r="J16" s="193">
        <f>'(HIDE) Data Validation'!T83</f>
        <v>0</v>
      </c>
      <c r="K16" s="193">
        <f>'(HIDE) Data Validation'!U83</f>
        <v>0</v>
      </c>
      <c r="L16" s="193">
        <f>'(HIDE) Data Validation'!V83</f>
        <v>15148.92</v>
      </c>
      <c r="M16" s="193">
        <f>'(HIDE) Data Validation'!W83</f>
        <v>37872.300000000003</v>
      </c>
      <c r="N16" s="193">
        <f>'(HIDE) Data Validation'!X83</f>
        <v>22723.380000000005</v>
      </c>
      <c r="O16" s="193">
        <f>'(HIDE) Data Validation'!Y83</f>
        <v>0</v>
      </c>
      <c r="P16" s="193">
        <f>'(HIDE) Data Validation'!Z83</f>
        <v>0</v>
      </c>
      <c r="Q16" s="193">
        <f>'(HIDE) Data Validation'!AA83</f>
        <v>0</v>
      </c>
      <c r="S16" s="191" t="s">
        <v>9</v>
      </c>
      <c r="T16" s="192">
        <f>'(HIDE) Data Validation'!M97</f>
        <v>62967</v>
      </c>
      <c r="U16" s="193">
        <f>'(HIDE) Data Validation'!N97</f>
        <v>0</v>
      </c>
      <c r="V16" s="193">
        <f>'(HIDE) Data Validation'!O97</f>
        <v>0</v>
      </c>
      <c r="W16" s="193">
        <f>'(HIDE) Data Validation'!P97</f>
        <v>0</v>
      </c>
      <c r="X16" s="193">
        <f>'(HIDE) Data Validation'!Q97</f>
        <v>0</v>
      </c>
      <c r="Y16" s="193">
        <f>'(HIDE) Data Validation'!R97</f>
        <v>0</v>
      </c>
      <c r="Z16" s="193">
        <f>'(HIDE) Data Validation'!S97</f>
        <v>0</v>
      </c>
      <c r="AA16" s="193">
        <f>'(HIDE) Data Validation'!T97</f>
        <v>0</v>
      </c>
      <c r="AB16" s="193">
        <f>'(HIDE) Data Validation'!U97</f>
        <v>0</v>
      </c>
      <c r="AC16" s="193">
        <f>'(HIDE) Data Validation'!V97</f>
        <v>12593.4</v>
      </c>
      <c r="AD16" s="193">
        <f>'(HIDE) Data Validation'!W97</f>
        <v>31483.5</v>
      </c>
      <c r="AE16" s="193">
        <f>'(HIDE) Data Validation'!X97</f>
        <v>18890.099999999999</v>
      </c>
      <c r="AF16" s="193">
        <f>'(HIDE) Data Validation'!Y97</f>
        <v>0</v>
      </c>
      <c r="AG16" s="193">
        <f>'(HIDE) Data Validation'!Z97</f>
        <v>0</v>
      </c>
      <c r="AH16" s="193">
        <f>'(HIDE) Data Validation'!AA97</f>
        <v>0</v>
      </c>
    </row>
    <row r="17" spans="2:34" x14ac:dyDescent="0.25">
      <c r="B17" s="22" t="s">
        <v>10</v>
      </c>
      <c r="C17" s="183">
        <f>'(HIDE) Data Validation'!M84</f>
        <v>97714.2</v>
      </c>
      <c r="D17" s="37">
        <f>'(HIDE) Data Validation'!N84</f>
        <v>0</v>
      </c>
      <c r="E17" s="37">
        <f>'(HIDE) Data Validation'!O84</f>
        <v>0</v>
      </c>
      <c r="F17" s="37">
        <f>'(HIDE) Data Validation'!P84</f>
        <v>0</v>
      </c>
      <c r="G17" s="37">
        <f>'(HIDE) Data Validation'!Q84</f>
        <v>0</v>
      </c>
      <c r="H17" s="37">
        <f>'(HIDE) Data Validation'!R84</f>
        <v>0</v>
      </c>
      <c r="I17" s="37">
        <f>'(HIDE) Data Validation'!S84</f>
        <v>0</v>
      </c>
      <c r="J17" s="37">
        <f>'(HIDE) Data Validation'!T84</f>
        <v>0</v>
      </c>
      <c r="K17" s="37">
        <f>'(HIDE) Data Validation'!U84</f>
        <v>0</v>
      </c>
      <c r="L17" s="37">
        <f>'(HIDE) Data Validation'!V84</f>
        <v>0</v>
      </c>
      <c r="M17" s="37">
        <f>'(HIDE) Data Validation'!W84</f>
        <v>19542.84</v>
      </c>
      <c r="N17" s="37">
        <f>'(HIDE) Data Validation'!X84</f>
        <v>48857.1</v>
      </c>
      <c r="O17" s="37">
        <f>'(HIDE) Data Validation'!Y84</f>
        <v>29314.260000000002</v>
      </c>
      <c r="P17" s="37">
        <f>'(HIDE) Data Validation'!Z84</f>
        <v>0</v>
      </c>
      <c r="Q17" s="37">
        <f>'(HIDE) Data Validation'!AA84</f>
        <v>0</v>
      </c>
      <c r="S17" s="22" t="s">
        <v>10</v>
      </c>
      <c r="T17" s="37">
        <f>'(HIDE) Data Validation'!M98</f>
        <v>81231</v>
      </c>
      <c r="U17" s="37">
        <f>'(HIDE) Data Validation'!N98</f>
        <v>0</v>
      </c>
      <c r="V17" s="37">
        <f>'(HIDE) Data Validation'!O98</f>
        <v>0</v>
      </c>
      <c r="W17" s="37">
        <f>'(HIDE) Data Validation'!P98</f>
        <v>0</v>
      </c>
      <c r="X17" s="37">
        <f>'(HIDE) Data Validation'!Q98</f>
        <v>0</v>
      </c>
      <c r="Y17" s="37">
        <f>'(HIDE) Data Validation'!R98</f>
        <v>0</v>
      </c>
      <c r="Z17" s="37">
        <f>'(HIDE) Data Validation'!S98</f>
        <v>0</v>
      </c>
      <c r="AA17" s="37">
        <f>'(HIDE) Data Validation'!T98</f>
        <v>0</v>
      </c>
      <c r="AB17" s="37">
        <f>'(HIDE) Data Validation'!U98</f>
        <v>0</v>
      </c>
      <c r="AC17" s="37">
        <f>'(HIDE) Data Validation'!V98</f>
        <v>0</v>
      </c>
      <c r="AD17" s="37">
        <f>'(HIDE) Data Validation'!W98</f>
        <v>16246.2</v>
      </c>
      <c r="AE17" s="37">
        <f>'(HIDE) Data Validation'!X98</f>
        <v>40615.5</v>
      </c>
      <c r="AF17" s="37">
        <f>'(HIDE) Data Validation'!Y98</f>
        <v>24369.300000000003</v>
      </c>
      <c r="AG17" s="37">
        <f>'(HIDE) Data Validation'!Z98</f>
        <v>0</v>
      </c>
      <c r="AH17" s="37">
        <f>'(HIDE) Data Validation'!AA98</f>
        <v>0</v>
      </c>
    </row>
    <row r="18" spans="2:34" x14ac:dyDescent="0.25">
      <c r="B18" s="191" t="s">
        <v>11</v>
      </c>
      <c r="C18" s="192">
        <f>'(HIDE) Data Validation'!M85</f>
        <v>110190</v>
      </c>
      <c r="D18" s="193">
        <f>'(HIDE) Data Validation'!N85</f>
        <v>0</v>
      </c>
      <c r="E18" s="193">
        <f>'(HIDE) Data Validation'!O85</f>
        <v>0</v>
      </c>
      <c r="F18" s="193">
        <f>'(HIDE) Data Validation'!P85</f>
        <v>0</v>
      </c>
      <c r="G18" s="193">
        <f>'(HIDE) Data Validation'!Q85</f>
        <v>0</v>
      </c>
      <c r="H18" s="193">
        <f>'(HIDE) Data Validation'!R85</f>
        <v>0</v>
      </c>
      <c r="I18" s="193">
        <f>'(HIDE) Data Validation'!S85</f>
        <v>0</v>
      </c>
      <c r="J18" s="193">
        <f>'(HIDE) Data Validation'!T85</f>
        <v>0</v>
      </c>
      <c r="K18" s="193">
        <f>'(HIDE) Data Validation'!U85</f>
        <v>0</v>
      </c>
      <c r="L18" s="193">
        <f>'(HIDE) Data Validation'!V85</f>
        <v>0</v>
      </c>
      <c r="M18" s="193">
        <f>'(HIDE) Data Validation'!W85</f>
        <v>0</v>
      </c>
      <c r="N18" s="193">
        <f>'(HIDE) Data Validation'!X85</f>
        <v>22038</v>
      </c>
      <c r="O18" s="193">
        <f>'(HIDE) Data Validation'!Y85</f>
        <v>55095</v>
      </c>
      <c r="P18" s="193">
        <f>'(HIDE) Data Validation'!Z85</f>
        <v>33057</v>
      </c>
      <c r="Q18" s="193">
        <f>'(HIDE) Data Validation'!AA85</f>
        <v>0</v>
      </c>
      <c r="S18" s="191" t="s">
        <v>11</v>
      </c>
      <c r="T18" s="192">
        <f>'(HIDE) Data Validation'!M99</f>
        <v>91602</v>
      </c>
      <c r="U18" s="193">
        <f>'(HIDE) Data Validation'!N99</f>
        <v>0</v>
      </c>
      <c r="V18" s="193">
        <f>'(HIDE) Data Validation'!O99</f>
        <v>0</v>
      </c>
      <c r="W18" s="193">
        <f>'(HIDE) Data Validation'!P99</f>
        <v>0</v>
      </c>
      <c r="X18" s="193">
        <f>'(HIDE) Data Validation'!Q99</f>
        <v>0</v>
      </c>
      <c r="Y18" s="193">
        <f>'(HIDE) Data Validation'!R99</f>
        <v>0</v>
      </c>
      <c r="Z18" s="193">
        <f>'(HIDE) Data Validation'!S99</f>
        <v>0</v>
      </c>
      <c r="AA18" s="193">
        <f>'(HIDE) Data Validation'!T99</f>
        <v>0</v>
      </c>
      <c r="AB18" s="193">
        <f>'(HIDE) Data Validation'!U99</f>
        <v>0</v>
      </c>
      <c r="AC18" s="193">
        <f>'(HIDE) Data Validation'!V99</f>
        <v>0</v>
      </c>
      <c r="AD18" s="193">
        <f>'(HIDE) Data Validation'!W99</f>
        <v>0</v>
      </c>
      <c r="AE18" s="193">
        <f>'(HIDE) Data Validation'!X99</f>
        <v>18320.400000000001</v>
      </c>
      <c r="AF18" s="193">
        <f>'(HIDE) Data Validation'!Y99</f>
        <v>45801</v>
      </c>
      <c r="AG18" s="193">
        <f>'(HIDE) Data Validation'!Z99</f>
        <v>27480.600000000006</v>
      </c>
      <c r="AH18" s="193">
        <f>'(HIDE) Data Validation'!AA99</f>
        <v>0</v>
      </c>
    </row>
    <row r="19" spans="2:34" x14ac:dyDescent="0.25">
      <c r="B19" s="22" t="s">
        <v>12</v>
      </c>
      <c r="C19" s="183">
        <f>'(HIDE) Data Validation'!M86</f>
        <v>143029.20000000001</v>
      </c>
      <c r="D19" s="37">
        <f>'(HIDE) Data Validation'!N86</f>
        <v>0</v>
      </c>
      <c r="E19" s="37">
        <f>'(HIDE) Data Validation'!O86</f>
        <v>0</v>
      </c>
      <c r="F19" s="37">
        <f>'(HIDE) Data Validation'!P86</f>
        <v>0</v>
      </c>
      <c r="G19" s="37">
        <f>'(HIDE) Data Validation'!Q86</f>
        <v>0</v>
      </c>
      <c r="H19" s="37">
        <f>'(HIDE) Data Validation'!R86</f>
        <v>0</v>
      </c>
      <c r="I19" s="37">
        <f>'(HIDE) Data Validation'!S86</f>
        <v>0</v>
      </c>
      <c r="J19" s="37">
        <f>'(HIDE) Data Validation'!T86</f>
        <v>0</v>
      </c>
      <c r="K19" s="37">
        <f>'(HIDE) Data Validation'!U86</f>
        <v>0</v>
      </c>
      <c r="L19" s="37">
        <f>'(HIDE) Data Validation'!V86</f>
        <v>0</v>
      </c>
      <c r="M19" s="37">
        <f>'(HIDE) Data Validation'!W86</f>
        <v>0</v>
      </c>
      <c r="N19" s="37">
        <f>'(HIDE) Data Validation'!X86</f>
        <v>0</v>
      </c>
      <c r="O19" s="37">
        <f>'(HIDE) Data Validation'!Y86</f>
        <v>28605.84</v>
      </c>
      <c r="P19" s="37">
        <f>'(HIDE) Data Validation'!Z86</f>
        <v>71514.600000000006</v>
      </c>
      <c r="Q19" s="37">
        <f>'(HIDE) Data Validation'!AA86</f>
        <v>42908.760000000009</v>
      </c>
      <c r="S19" s="22" t="s">
        <v>12</v>
      </c>
      <c r="T19" s="37">
        <f>'(HIDE) Data Validation'!M100</f>
        <v>118902</v>
      </c>
      <c r="U19" s="37">
        <f>'(HIDE) Data Validation'!N100</f>
        <v>0</v>
      </c>
      <c r="V19" s="37">
        <f>'(HIDE) Data Validation'!O100</f>
        <v>0</v>
      </c>
      <c r="W19" s="37">
        <f>'(HIDE) Data Validation'!P100</f>
        <v>0</v>
      </c>
      <c r="X19" s="37">
        <f>'(HIDE) Data Validation'!Q100</f>
        <v>0</v>
      </c>
      <c r="Y19" s="37">
        <f>'(HIDE) Data Validation'!R100</f>
        <v>0</v>
      </c>
      <c r="Z19" s="37">
        <f>'(HIDE) Data Validation'!S100</f>
        <v>0</v>
      </c>
      <c r="AA19" s="37">
        <f>'(HIDE) Data Validation'!T100</f>
        <v>0</v>
      </c>
      <c r="AB19" s="37">
        <f>'(HIDE) Data Validation'!U100</f>
        <v>0</v>
      </c>
      <c r="AC19" s="37">
        <f>'(HIDE) Data Validation'!V100</f>
        <v>0</v>
      </c>
      <c r="AD19" s="37">
        <f>'(HIDE) Data Validation'!W100</f>
        <v>0</v>
      </c>
      <c r="AE19" s="37">
        <f>'(HIDE) Data Validation'!X100</f>
        <v>0</v>
      </c>
      <c r="AF19" s="37">
        <f>'(HIDE) Data Validation'!Y100</f>
        <v>23780.400000000001</v>
      </c>
      <c r="AG19" s="37">
        <f>'(HIDE) Data Validation'!Z100</f>
        <v>59451</v>
      </c>
      <c r="AH19" s="37">
        <f>'(HIDE) Data Validation'!AA100</f>
        <v>35670.600000000006</v>
      </c>
    </row>
    <row r="20" spans="2:34" x14ac:dyDescent="0.25">
      <c r="B20" s="194" t="s">
        <v>216</v>
      </c>
      <c r="C20" s="198">
        <f>'(HIDE) Data Validation'!M87</f>
        <v>857591.4</v>
      </c>
      <c r="D20" s="196">
        <f t="shared" ref="D20:Q20" si="0">SUM(D8:D19)</f>
        <v>3658.8</v>
      </c>
      <c r="E20" s="196">
        <f t="shared" si="0"/>
        <v>15596.4</v>
      </c>
      <c r="F20" s="196">
        <f t="shared" si="0"/>
        <v>28806.9</v>
      </c>
      <c r="G20" s="196">
        <f t="shared" si="0"/>
        <v>38442.899999999994</v>
      </c>
      <c r="H20" s="196">
        <f t="shared" si="0"/>
        <v>50584.200000000004</v>
      </c>
      <c r="I20" s="196">
        <f t="shared" si="0"/>
        <v>58989.899999999994</v>
      </c>
      <c r="J20" s="196">
        <f t="shared" si="0"/>
        <v>63321.119999999995</v>
      </c>
      <c r="K20" s="196">
        <f t="shared" si="0"/>
        <v>76511.460000000006</v>
      </c>
      <c r="L20" s="196">
        <f t="shared" si="0"/>
        <v>84234.599999999991</v>
      </c>
      <c r="M20" s="196">
        <f t="shared" si="0"/>
        <v>83331.180000000008</v>
      </c>
      <c r="N20" s="196">
        <f t="shared" si="0"/>
        <v>93618.48000000001</v>
      </c>
      <c r="O20" s="196">
        <f t="shared" si="0"/>
        <v>113015.1</v>
      </c>
      <c r="P20" s="196">
        <f t="shared" si="0"/>
        <v>104571.6</v>
      </c>
      <c r="Q20" s="196">
        <f t="shared" si="0"/>
        <v>42908.760000000009</v>
      </c>
      <c r="S20" s="194" t="s">
        <v>216</v>
      </c>
      <c r="T20" s="198">
        <f>'(HIDE) Data Validation'!M101</f>
        <v>756483</v>
      </c>
      <c r="U20" s="196">
        <f>'(HIDE) Data Validation'!N101</f>
        <v>3658.8</v>
      </c>
      <c r="V20" s="196">
        <f>'(HIDE) Data Validation'!O101</f>
        <v>15596.4</v>
      </c>
      <c r="W20" s="196">
        <f>'(HIDE) Data Validation'!P101</f>
        <v>28806.9</v>
      </c>
      <c r="X20" s="196">
        <f>'(HIDE) Data Validation'!Q101</f>
        <v>38442.9</v>
      </c>
      <c r="Y20" s="196">
        <f>'(HIDE) Data Validation'!R101</f>
        <v>50584.2</v>
      </c>
      <c r="Z20" s="196">
        <f>'(HIDE) Data Validation'!S101</f>
        <v>58989.9</v>
      </c>
      <c r="AA20" s="196">
        <f>'(HIDE) Data Validation'!T101</f>
        <v>60409.2</v>
      </c>
      <c r="AB20" s="196">
        <f>'(HIDE) Data Validation'!U101</f>
        <v>66317.100000000006</v>
      </c>
      <c r="AC20" s="196">
        <f>'(HIDE) Data Validation'!V101</f>
        <v>70024.800000000003</v>
      </c>
      <c r="AD20" s="196">
        <f>'(HIDE) Data Validation'!W101</f>
        <v>69273.899999999994</v>
      </c>
      <c r="AE20" s="196">
        <f>'(HIDE) Data Validation'!X101</f>
        <v>77826</v>
      </c>
      <c r="AF20" s="196">
        <f>'(HIDE) Data Validation'!Y101</f>
        <v>93950.7</v>
      </c>
      <c r="AG20" s="196">
        <f>'(HIDE) Data Validation'!Z101</f>
        <v>86931.6</v>
      </c>
      <c r="AH20" s="196">
        <f>'(HIDE) Data Validation'!AA101</f>
        <v>35670.600000000006</v>
      </c>
    </row>
    <row r="21" spans="2:34" x14ac:dyDescent="0.25">
      <c r="D21" s="223">
        <f>'(HIDE) Data Validation'!N73</f>
        <v>18294</v>
      </c>
      <c r="E21" s="223">
        <f>'(HIDE) Data Validation'!O73</f>
        <v>32247</v>
      </c>
      <c r="F21" s="223">
        <f>'(HIDE) Data Validation'!P73</f>
        <v>35976</v>
      </c>
      <c r="G21" s="223">
        <f>'(HIDE) Data Validation'!Q73</f>
        <v>53904</v>
      </c>
      <c r="H21" s="223">
        <f>'(HIDE) Data Validation'!R73</f>
        <v>64197</v>
      </c>
      <c r="I21" s="223">
        <f>'(HIDE) Data Validation'!S73</f>
        <v>53601</v>
      </c>
      <c r="J21" s="223">
        <f>'(HIDE) Data Validation'!T73</f>
        <v>86307.6</v>
      </c>
      <c r="K21" s="223">
        <f>'(HIDE) Data Validation'!U73</f>
        <v>86386.8</v>
      </c>
      <c r="L21" s="223">
        <f>'(HIDE) Data Validation'!V73</f>
        <v>75744.600000000006</v>
      </c>
      <c r="M21" s="223">
        <f>'(HIDE) Data Validation'!W73</f>
        <v>97714.2</v>
      </c>
      <c r="N21" s="223">
        <f>'(HIDE) Data Validation'!X73</f>
        <v>110190</v>
      </c>
      <c r="O21" s="223">
        <f>'(HIDE) Data Validation'!Y73</f>
        <v>143029.20000000001</v>
      </c>
    </row>
    <row r="22" spans="2:34" ht="18.75" x14ac:dyDescent="0.3">
      <c r="C22" s="40"/>
      <c r="F22" s="189"/>
      <c r="K22" s="184"/>
      <c r="L22" s="184"/>
      <c r="M22" s="184"/>
      <c r="N22" s="184"/>
      <c r="O22" s="185" t="s">
        <v>585</v>
      </c>
      <c r="P22" s="379">
        <f>AVERAGE(C8:C19)</f>
        <v>71465.95</v>
      </c>
      <c r="Q22" s="379"/>
      <c r="T22" s="40"/>
      <c r="W22" s="189"/>
      <c r="AB22" s="184"/>
      <c r="AC22" s="184"/>
      <c r="AD22" s="184"/>
      <c r="AE22" s="184"/>
      <c r="AF22" s="185" t="str">
        <f>"Average "&amp;'(HIDE) Data Validation'!A7&amp;" Accounts Receivable"</f>
        <v>Average Burgers Accounts Receivable</v>
      </c>
      <c r="AG22" s="379">
        <f>AVERAGE(T8:T19)</f>
        <v>63040.25</v>
      </c>
      <c r="AH22" s="379"/>
    </row>
    <row r="23" spans="2:34" ht="18.75" x14ac:dyDescent="0.3">
      <c r="K23" s="184"/>
      <c r="L23" s="184"/>
      <c r="M23" s="184"/>
      <c r="N23" s="184"/>
      <c r="O23" s="185" t="s">
        <v>584</v>
      </c>
      <c r="P23" s="379">
        <f>SUM(C8:C19)</f>
        <v>857591.39999999991</v>
      </c>
      <c r="Q23" s="379"/>
    </row>
    <row r="25" spans="2:34" ht="18.75" x14ac:dyDescent="0.3">
      <c r="S25" s="372" t="str">
        <f>IF('Business Setup'!F3="","UNNAMED",'Business Setup'!F3)</f>
        <v>UNNAMED</v>
      </c>
      <c r="T25" s="373"/>
      <c r="U25" s="373"/>
      <c r="V25" s="373"/>
      <c r="W25" s="373"/>
      <c r="X25" s="373"/>
      <c r="Y25" s="373"/>
      <c r="Z25" s="373"/>
      <c r="AA25" s="373"/>
      <c r="AB25" s="373"/>
      <c r="AC25" s="373"/>
      <c r="AD25" s="373"/>
      <c r="AE25" s="373"/>
      <c r="AF25" s="373"/>
      <c r="AG25" s="373"/>
      <c r="AH25" s="374"/>
    </row>
    <row r="26" spans="2:34" ht="23.25" x14ac:dyDescent="0.35">
      <c r="C26" s="13" t="s">
        <v>587</v>
      </c>
      <c r="S26" s="388" t="str">
        <f>"Schedule of Accounts Receivable for "&amp;'(HIDE) Data Validation'!B42</f>
        <v>Schedule of Accounts Receivable for Hot Chips</v>
      </c>
      <c r="T26" s="368"/>
      <c r="U26" s="368"/>
      <c r="V26" s="368"/>
      <c r="W26" s="368"/>
      <c r="X26" s="368"/>
      <c r="Y26" s="368"/>
      <c r="Z26" s="368"/>
      <c r="AA26" s="368"/>
      <c r="AB26" s="368"/>
      <c r="AC26" s="368"/>
      <c r="AD26" s="368"/>
      <c r="AE26" s="368"/>
      <c r="AF26" s="368"/>
      <c r="AG26" s="368"/>
      <c r="AH26" s="389"/>
    </row>
    <row r="27" spans="2:34" ht="21" x14ac:dyDescent="0.35">
      <c r="C27" s="197" t="s">
        <v>588</v>
      </c>
      <c r="M27" s="158"/>
      <c r="S27" s="375" t="s">
        <v>521</v>
      </c>
      <c r="T27" s="376"/>
      <c r="U27" s="376"/>
      <c r="V27" s="376"/>
      <c r="W27" s="376"/>
      <c r="X27" s="376"/>
      <c r="Y27" s="376"/>
      <c r="Z27" s="376"/>
      <c r="AA27" s="376"/>
      <c r="AB27" s="376"/>
      <c r="AC27" s="376"/>
      <c r="AD27" s="376"/>
      <c r="AE27" s="376"/>
      <c r="AF27" s="376"/>
      <c r="AG27" s="376"/>
      <c r="AH27" s="377"/>
    </row>
    <row r="28" spans="2:34" ht="21" x14ac:dyDescent="0.35">
      <c r="C28" s="197" t="s">
        <v>589</v>
      </c>
      <c r="S28" s="380"/>
      <c r="T28" s="381"/>
      <c r="U28" s="384" t="s">
        <v>575</v>
      </c>
      <c r="V28" s="385"/>
      <c r="W28" s="385"/>
      <c r="X28" s="385"/>
      <c r="Y28" s="385"/>
      <c r="Z28" s="385"/>
      <c r="AA28" s="385"/>
      <c r="AB28" s="385"/>
      <c r="AC28" s="385"/>
      <c r="AD28" s="385"/>
      <c r="AE28" s="385"/>
      <c r="AF28" s="385"/>
      <c r="AG28" s="385"/>
      <c r="AH28" s="386"/>
    </row>
    <row r="29" spans="2:34" ht="21" x14ac:dyDescent="0.35">
      <c r="C29" s="197" t="s">
        <v>590</v>
      </c>
      <c r="S29" s="382" t="s">
        <v>224</v>
      </c>
      <c r="T29" s="383"/>
      <c r="U29" s="190" t="s">
        <v>1</v>
      </c>
      <c r="V29" s="190" t="s">
        <v>2</v>
      </c>
      <c r="W29" s="190" t="s">
        <v>3</v>
      </c>
      <c r="X29" s="190" t="s">
        <v>4</v>
      </c>
      <c r="Y29" s="190" t="s">
        <v>5</v>
      </c>
      <c r="Z29" s="190" t="s">
        <v>6</v>
      </c>
      <c r="AA29" s="190" t="s">
        <v>7</v>
      </c>
      <c r="AB29" s="190" t="s">
        <v>8</v>
      </c>
      <c r="AC29" s="190" t="s">
        <v>9</v>
      </c>
      <c r="AD29" s="190" t="s">
        <v>10</v>
      </c>
      <c r="AE29" s="190" t="s">
        <v>11</v>
      </c>
      <c r="AF29" s="190" t="s">
        <v>12</v>
      </c>
      <c r="AG29" s="190" t="s">
        <v>1</v>
      </c>
      <c r="AH29" s="190" t="s">
        <v>2</v>
      </c>
    </row>
    <row r="30" spans="2:34" x14ac:dyDescent="0.25">
      <c r="S30" s="186"/>
      <c r="T30" s="187"/>
      <c r="U30" s="188" t="s">
        <v>38</v>
      </c>
      <c r="V30" s="188" t="s">
        <v>38</v>
      </c>
      <c r="W30" s="188" t="s">
        <v>38</v>
      </c>
      <c r="X30" s="188" t="s">
        <v>38</v>
      </c>
      <c r="Y30" s="188" t="s">
        <v>38</v>
      </c>
      <c r="Z30" s="188" t="s">
        <v>38</v>
      </c>
      <c r="AA30" s="188" t="s">
        <v>38</v>
      </c>
      <c r="AB30" s="188" t="s">
        <v>38</v>
      </c>
      <c r="AC30" s="188" t="s">
        <v>38</v>
      </c>
      <c r="AD30" s="188" t="s">
        <v>38</v>
      </c>
      <c r="AE30" s="188" t="s">
        <v>38</v>
      </c>
      <c r="AF30" s="188" t="s">
        <v>38</v>
      </c>
      <c r="AG30" s="188" t="s">
        <v>38</v>
      </c>
      <c r="AH30" s="188" t="s">
        <v>38</v>
      </c>
    </row>
    <row r="31" spans="2:34" x14ac:dyDescent="0.25">
      <c r="S31" s="191" t="s">
        <v>1</v>
      </c>
      <c r="T31" s="192">
        <f>'(HIDE) Data Validation'!M104</f>
        <v>0</v>
      </c>
      <c r="U31" s="193">
        <f>'(HIDE) Data Validation'!N104</f>
        <v>0</v>
      </c>
      <c r="V31" s="193">
        <f>'(HIDE) Data Validation'!O104</f>
        <v>0</v>
      </c>
      <c r="W31" s="193">
        <f>'(HIDE) Data Validation'!P104</f>
        <v>0</v>
      </c>
      <c r="X31" s="193">
        <f>'(HIDE) Data Validation'!Q104</f>
        <v>0</v>
      </c>
      <c r="Y31" s="193">
        <f>'(HIDE) Data Validation'!R104</f>
        <v>0</v>
      </c>
      <c r="Z31" s="193">
        <f>'(HIDE) Data Validation'!S104</f>
        <v>0</v>
      </c>
      <c r="AA31" s="193">
        <f>'(HIDE) Data Validation'!T104</f>
        <v>0</v>
      </c>
      <c r="AB31" s="193">
        <f>'(HIDE) Data Validation'!U104</f>
        <v>0</v>
      </c>
      <c r="AC31" s="193">
        <f>'(HIDE) Data Validation'!V104</f>
        <v>0</v>
      </c>
      <c r="AD31" s="193">
        <f>'(HIDE) Data Validation'!W104</f>
        <v>0</v>
      </c>
      <c r="AE31" s="193">
        <f>'(HIDE) Data Validation'!X104</f>
        <v>0</v>
      </c>
      <c r="AF31" s="193">
        <f>'(HIDE) Data Validation'!Y104</f>
        <v>0</v>
      </c>
      <c r="AG31" s="193">
        <f>'(HIDE) Data Validation'!Z104</f>
        <v>0</v>
      </c>
      <c r="AH31" s="193">
        <f>'(HIDE) Data Validation'!AA104</f>
        <v>0</v>
      </c>
    </row>
    <row r="32" spans="2:34" ht="14.85" customHeight="1" x14ac:dyDescent="0.4">
      <c r="B32" s="387" t="str">
        <f>IF('(HIDE) Data Validation'!B26=0,"","YOU HAVE NOT YET RAISED ENOUGH CAPITAL. YOU STILL NEED $"&amp;TEXT('(HIDE) Data Validation'!B26,"#,##0;;@"))</f>
        <v>YOU HAVE NOT YET RAISED ENOUGH CAPITAL. YOU STILL NEED $275,865</v>
      </c>
      <c r="C32" s="387"/>
      <c r="D32" s="387"/>
      <c r="E32" s="387"/>
      <c r="F32" s="387"/>
      <c r="G32" s="387"/>
      <c r="H32" s="387"/>
      <c r="I32" s="222"/>
      <c r="J32" s="222"/>
      <c r="S32" s="22" t="s">
        <v>2</v>
      </c>
      <c r="T32" s="37">
        <f>'(HIDE) Data Validation'!M105</f>
        <v>0</v>
      </c>
      <c r="U32" s="37">
        <f>'(HIDE) Data Validation'!N105</f>
        <v>0</v>
      </c>
      <c r="V32" s="37">
        <f>'(HIDE) Data Validation'!O105</f>
        <v>0</v>
      </c>
      <c r="W32" s="37">
        <f>'(HIDE) Data Validation'!P105</f>
        <v>0</v>
      </c>
      <c r="X32" s="37">
        <f>'(HIDE) Data Validation'!Q105</f>
        <v>0</v>
      </c>
      <c r="Y32" s="37">
        <f>'(HIDE) Data Validation'!R105</f>
        <v>0</v>
      </c>
      <c r="Z32" s="37">
        <f>'(HIDE) Data Validation'!S105</f>
        <v>0</v>
      </c>
      <c r="AA32" s="37">
        <f>'(HIDE) Data Validation'!T105</f>
        <v>0</v>
      </c>
      <c r="AB32" s="37">
        <f>'(HIDE) Data Validation'!U105</f>
        <v>0</v>
      </c>
      <c r="AC32" s="37">
        <f>'(HIDE) Data Validation'!V105</f>
        <v>0</v>
      </c>
      <c r="AD32" s="37">
        <f>'(HIDE) Data Validation'!W105</f>
        <v>0</v>
      </c>
      <c r="AE32" s="37">
        <f>'(HIDE) Data Validation'!X105</f>
        <v>0</v>
      </c>
      <c r="AF32" s="37">
        <f>'(HIDE) Data Validation'!Y105</f>
        <v>0</v>
      </c>
      <c r="AG32" s="37">
        <f>'(HIDE) Data Validation'!Z105</f>
        <v>0</v>
      </c>
      <c r="AH32" s="37">
        <f>'(HIDE) Data Validation'!AA105</f>
        <v>0</v>
      </c>
    </row>
    <row r="33" spans="2:34" ht="14.85" customHeight="1" x14ac:dyDescent="0.4">
      <c r="B33" s="387"/>
      <c r="C33" s="387"/>
      <c r="D33" s="387"/>
      <c r="E33" s="387"/>
      <c r="F33" s="387"/>
      <c r="G33" s="387"/>
      <c r="H33" s="387"/>
      <c r="I33" s="222"/>
      <c r="J33" s="222"/>
      <c r="S33" s="191" t="s">
        <v>3</v>
      </c>
      <c r="T33" s="192">
        <f>'(HIDE) Data Validation'!M106</f>
        <v>0</v>
      </c>
      <c r="U33" s="193">
        <f>'(HIDE) Data Validation'!N106</f>
        <v>0</v>
      </c>
      <c r="V33" s="193">
        <f>'(HIDE) Data Validation'!O106</f>
        <v>0</v>
      </c>
      <c r="W33" s="193">
        <f>'(HIDE) Data Validation'!P106</f>
        <v>0</v>
      </c>
      <c r="X33" s="193">
        <f>'(HIDE) Data Validation'!Q106</f>
        <v>0</v>
      </c>
      <c r="Y33" s="193">
        <f>'(HIDE) Data Validation'!R106</f>
        <v>0</v>
      </c>
      <c r="Z33" s="193">
        <f>'(HIDE) Data Validation'!S106</f>
        <v>0</v>
      </c>
      <c r="AA33" s="193">
        <f>'(HIDE) Data Validation'!T106</f>
        <v>0</v>
      </c>
      <c r="AB33" s="193">
        <f>'(HIDE) Data Validation'!U106</f>
        <v>0</v>
      </c>
      <c r="AC33" s="193">
        <f>'(HIDE) Data Validation'!V106</f>
        <v>0</v>
      </c>
      <c r="AD33" s="193">
        <f>'(HIDE) Data Validation'!W106</f>
        <v>0</v>
      </c>
      <c r="AE33" s="193">
        <f>'(HIDE) Data Validation'!X106</f>
        <v>0</v>
      </c>
      <c r="AF33" s="193">
        <f>'(HIDE) Data Validation'!Y106</f>
        <v>0</v>
      </c>
      <c r="AG33" s="193">
        <f>'(HIDE) Data Validation'!Z106</f>
        <v>0</v>
      </c>
      <c r="AH33" s="193">
        <f>'(HIDE) Data Validation'!AA106</f>
        <v>0</v>
      </c>
    </row>
    <row r="34" spans="2:34" ht="14.85" customHeight="1" x14ac:dyDescent="0.4">
      <c r="B34" s="387"/>
      <c r="C34" s="387"/>
      <c r="D34" s="387"/>
      <c r="E34" s="387"/>
      <c r="F34" s="387"/>
      <c r="G34" s="387"/>
      <c r="H34" s="387"/>
      <c r="I34" s="222"/>
      <c r="J34" s="222"/>
      <c r="S34" s="22" t="s">
        <v>4</v>
      </c>
      <c r="T34" s="37">
        <f>'(HIDE) Data Validation'!M107</f>
        <v>0</v>
      </c>
      <c r="U34" s="37">
        <f>'(HIDE) Data Validation'!N107</f>
        <v>0</v>
      </c>
      <c r="V34" s="37">
        <f>'(HIDE) Data Validation'!O107</f>
        <v>0</v>
      </c>
      <c r="W34" s="37">
        <f>'(HIDE) Data Validation'!P107</f>
        <v>0</v>
      </c>
      <c r="X34" s="37">
        <f>'(HIDE) Data Validation'!Q107</f>
        <v>0</v>
      </c>
      <c r="Y34" s="37">
        <f>'(HIDE) Data Validation'!R107</f>
        <v>0</v>
      </c>
      <c r="Z34" s="37">
        <f>'(HIDE) Data Validation'!S107</f>
        <v>0</v>
      </c>
      <c r="AA34" s="37">
        <f>'(HIDE) Data Validation'!T107</f>
        <v>0</v>
      </c>
      <c r="AB34" s="37">
        <f>'(HIDE) Data Validation'!U107</f>
        <v>0</v>
      </c>
      <c r="AC34" s="37">
        <f>'(HIDE) Data Validation'!V107</f>
        <v>0</v>
      </c>
      <c r="AD34" s="37">
        <f>'(HIDE) Data Validation'!W107</f>
        <v>0</v>
      </c>
      <c r="AE34" s="37">
        <f>'(HIDE) Data Validation'!X107</f>
        <v>0</v>
      </c>
      <c r="AF34" s="37">
        <f>'(HIDE) Data Validation'!Y107</f>
        <v>0</v>
      </c>
      <c r="AG34" s="37">
        <f>'(HIDE) Data Validation'!Z107</f>
        <v>0</v>
      </c>
      <c r="AH34" s="37">
        <f>'(HIDE) Data Validation'!AA107</f>
        <v>0</v>
      </c>
    </row>
    <row r="35" spans="2:34" ht="14.85" customHeight="1" x14ac:dyDescent="0.4">
      <c r="B35" s="387"/>
      <c r="C35" s="387"/>
      <c r="D35" s="387"/>
      <c r="E35" s="387"/>
      <c r="F35" s="387"/>
      <c r="G35" s="387"/>
      <c r="H35" s="387"/>
      <c r="I35" s="222"/>
      <c r="J35" s="222"/>
      <c r="S35" s="191" t="s">
        <v>5</v>
      </c>
      <c r="T35" s="192">
        <f>'(HIDE) Data Validation'!M108</f>
        <v>0</v>
      </c>
      <c r="U35" s="193">
        <f>'(HIDE) Data Validation'!N108</f>
        <v>0</v>
      </c>
      <c r="V35" s="193">
        <f>'(HIDE) Data Validation'!O108</f>
        <v>0</v>
      </c>
      <c r="W35" s="193">
        <f>'(HIDE) Data Validation'!P108</f>
        <v>0</v>
      </c>
      <c r="X35" s="193">
        <f>'(HIDE) Data Validation'!Q108</f>
        <v>0</v>
      </c>
      <c r="Y35" s="193">
        <f>'(HIDE) Data Validation'!R108</f>
        <v>0</v>
      </c>
      <c r="Z35" s="193">
        <f>'(HIDE) Data Validation'!S108</f>
        <v>0</v>
      </c>
      <c r="AA35" s="193">
        <f>'(HIDE) Data Validation'!T108</f>
        <v>0</v>
      </c>
      <c r="AB35" s="193">
        <f>'(HIDE) Data Validation'!U108</f>
        <v>0</v>
      </c>
      <c r="AC35" s="193">
        <f>'(HIDE) Data Validation'!V108</f>
        <v>0</v>
      </c>
      <c r="AD35" s="193">
        <f>'(HIDE) Data Validation'!W108</f>
        <v>0</v>
      </c>
      <c r="AE35" s="193">
        <f>'(HIDE) Data Validation'!X108</f>
        <v>0</v>
      </c>
      <c r="AF35" s="193">
        <f>'(HIDE) Data Validation'!Y108</f>
        <v>0</v>
      </c>
      <c r="AG35" s="193">
        <f>'(HIDE) Data Validation'!Z108</f>
        <v>0</v>
      </c>
      <c r="AH35" s="193">
        <f>'(HIDE) Data Validation'!AA108</f>
        <v>0</v>
      </c>
    </row>
    <row r="36" spans="2:34" ht="14.85" customHeight="1" x14ac:dyDescent="0.4">
      <c r="B36" s="387"/>
      <c r="C36" s="387"/>
      <c r="D36" s="387"/>
      <c r="E36" s="387"/>
      <c r="F36" s="387"/>
      <c r="G36" s="387"/>
      <c r="H36" s="387"/>
      <c r="I36" s="222"/>
      <c r="S36" s="22" t="s">
        <v>6</v>
      </c>
      <c r="T36" s="37">
        <f>'(HIDE) Data Validation'!M109</f>
        <v>0</v>
      </c>
      <c r="U36" s="37">
        <f>'(HIDE) Data Validation'!N109</f>
        <v>0</v>
      </c>
      <c r="V36" s="37">
        <f>'(HIDE) Data Validation'!O109</f>
        <v>0</v>
      </c>
      <c r="W36" s="37">
        <f>'(HIDE) Data Validation'!P109</f>
        <v>0</v>
      </c>
      <c r="X36" s="37">
        <f>'(HIDE) Data Validation'!Q109</f>
        <v>0</v>
      </c>
      <c r="Y36" s="37">
        <f>'(HIDE) Data Validation'!R109</f>
        <v>0</v>
      </c>
      <c r="Z36" s="37">
        <f>'(HIDE) Data Validation'!S109</f>
        <v>0</v>
      </c>
      <c r="AA36" s="37">
        <f>'(HIDE) Data Validation'!T109</f>
        <v>0</v>
      </c>
      <c r="AB36" s="37">
        <f>'(HIDE) Data Validation'!U109</f>
        <v>0</v>
      </c>
      <c r="AC36" s="37">
        <f>'(HIDE) Data Validation'!V109</f>
        <v>0</v>
      </c>
      <c r="AD36" s="37">
        <f>'(HIDE) Data Validation'!W109</f>
        <v>0</v>
      </c>
      <c r="AE36" s="37">
        <f>'(HIDE) Data Validation'!X109</f>
        <v>0</v>
      </c>
      <c r="AF36" s="37">
        <f>'(HIDE) Data Validation'!Y109</f>
        <v>0</v>
      </c>
      <c r="AG36" s="37">
        <f>'(HIDE) Data Validation'!Z109</f>
        <v>0</v>
      </c>
      <c r="AH36" s="37">
        <f>'(HIDE) Data Validation'!AA109</f>
        <v>0</v>
      </c>
    </row>
    <row r="37" spans="2:34" x14ac:dyDescent="0.25">
      <c r="B37" s="387"/>
      <c r="C37" s="387"/>
      <c r="D37" s="387"/>
      <c r="E37" s="387"/>
      <c r="F37" s="387"/>
      <c r="G37" s="387"/>
      <c r="H37" s="387"/>
      <c r="S37" s="191" t="s">
        <v>7</v>
      </c>
      <c r="T37" s="192">
        <f>'(HIDE) Data Validation'!M110</f>
        <v>14559.6</v>
      </c>
      <c r="U37" s="193">
        <f>'(HIDE) Data Validation'!N110</f>
        <v>0</v>
      </c>
      <c r="V37" s="193">
        <f>'(HIDE) Data Validation'!O110</f>
        <v>0</v>
      </c>
      <c r="W37" s="193">
        <f>'(HIDE) Data Validation'!P110</f>
        <v>0</v>
      </c>
      <c r="X37" s="193">
        <f>'(HIDE) Data Validation'!Q110</f>
        <v>0</v>
      </c>
      <c r="Y37" s="193">
        <f>'(HIDE) Data Validation'!R110</f>
        <v>0</v>
      </c>
      <c r="Z37" s="193">
        <f>'(HIDE) Data Validation'!S110</f>
        <v>0</v>
      </c>
      <c r="AA37" s="193">
        <f>'(HIDE) Data Validation'!T110</f>
        <v>2911.92</v>
      </c>
      <c r="AB37" s="193">
        <f>'(HIDE) Data Validation'!U110</f>
        <v>7279.8</v>
      </c>
      <c r="AC37" s="193">
        <f>'(HIDE) Data Validation'!V110</f>
        <v>4367.88</v>
      </c>
      <c r="AD37" s="193">
        <f>'(HIDE) Data Validation'!W110</f>
        <v>0</v>
      </c>
      <c r="AE37" s="193">
        <f>'(HIDE) Data Validation'!X110</f>
        <v>0</v>
      </c>
      <c r="AF37" s="193">
        <f>'(HIDE) Data Validation'!Y110</f>
        <v>0</v>
      </c>
      <c r="AG37" s="193">
        <f>'(HIDE) Data Validation'!Z110</f>
        <v>0</v>
      </c>
      <c r="AH37" s="193">
        <f>'(HIDE) Data Validation'!AA110</f>
        <v>0</v>
      </c>
    </row>
    <row r="38" spans="2:34" x14ac:dyDescent="0.25">
      <c r="S38" s="22" t="s">
        <v>8</v>
      </c>
      <c r="T38" s="37">
        <f>'(HIDE) Data Validation'!M111</f>
        <v>14572.8</v>
      </c>
      <c r="U38" s="37">
        <f>'(HIDE) Data Validation'!N111</f>
        <v>0</v>
      </c>
      <c r="V38" s="37">
        <f>'(HIDE) Data Validation'!O111</f>
        <v>0</v>
      </c>
      <c r="W38" s="37">
        <f>'(HIDE) Data Validation'!P111</f>
        <v>0</v>
      </c>
      <c r="X38" s="37">
        <f>'(HIDE) Data Validation'!Q111</f>
        <v>0</v>
      </c>
      <c r="Y38" s="37">
        <f>'(HIDE) Data Validation'!R111</f>
        <v>0</v>
      </c>
      <c r="Z38" s="37">
        <f>'(HIDE) Data Validation'!S111</f>
        <v>0</v>
      </c>
      <c r="AA38" s="37">
        <f>'(HIDE) Data Validation'!T111</f>
        <v>0</v>
      </c>
      <c r="AB38" s="37">
        <f>'(HIDE) Data Validation'!U111</f>
        <v>2914.56</v>
      </c>
      <c r="AC38" s="37">
        <f>'(HIDE) Data Validation'!V111</f>
        <v>7286.4</v>
      </c>
      <c r="AD38" s="37">
        <f>'(HIDE) Data Validation'!W111</f>
        <v>4371.84</v>
      </c>
      <c r="AE38" s="37">
        <f>'(HIDE) Data Validation'!X111</f>
        <v>0</v>
      </c>
      <c r="AF38" s="37">
        <f>'(HIDE) Data Validation'!Y111</f>
        <v>0</v>
      </c>
      <c r="AG38" s="37">
        <f>'(HIDE) Data Validation'!Z111</f>
        <v>0</v>
      </c>
      <c r="AH38" s="37">
        <f>'(HIDE) Data Validation'!AA111</f>
        <v>0</v>
      </c>
    </row>
    <row r="39" spans="2:34" x14ac:dyDescent="0.25">
      <c r="S39" s="191" t="s">
        <v>9</v>
      </c>
      <c r="T39" s="192">
        <f>'(HIDE) Data Validation'!M112</f>
        <v>12777.6</v>
      </c>
      <c r="U39" s="193">
        <f>'(HIDE) Data Validation'!N112</f>
        <v>0</v>
      </c>
      <c r="V39" s="193">
        <f>'(HIDE) Data Validation'!O112</f>
        <v>0</v>
      </c>
      <c r="W39" s="193">
        <f>'(HIDE) Data Validation'!P112</f>
        <v>0</v>
      </c>
      <c r="X39" s="193">
        <f>'(HIDE) Data Validation'!Q112</f>
        <v>0</v>
      </c>
      <c r="Y39" s="193">
        <f>'(HIDE) Data Validation'!R112</f>
        <v>0</v>
      </c>
      <c r="Z39" s="193">
        <f>'(HIDE) Data Validation'!S112</f>
        <v>0</v>
      </c>
      <c r="AA39" s="193">
        <f>'(HIDE) Data Validation'!T112</f>
        <v>0</v>
      </c>
      <c r="AB39" s="193">
        <f>'(HIDE) Data Validation'!U112</f>
        <v>0</v>
      </c>
      <c r="AC39" s="193">
        <f>'(HIDE) Data Validation'!V112</f>
        <v>2555.52</v>
      </c>
      <c r="AD39" s="193">
        <f>'(HIDE) Data Validation'!W112</f>
        <v>6388.8</v>
      </c>
      <c r="AE39" s="193">
        <f>'(HIDE) Data Validation'!X112</f>
        <v>3833.2799999999997</v>
      </c>
      <c r="AF39" s="193">
        <f>'(HIDE) Data Validation'!Y112</f>
        <v>0</v>
      </c>
      <c r="AG39" s="193">
        <f>'(HIDE) Data Validation'!Z112</f>
        <v>0</v>
      </c>
      <c r="AH39" s="193">
        <f>'(HIDE) Data Validation'!AA112</f>
        <v>0</v>
      </c>
    </row>
    <row r="40" spans="2:34" x14ac:dyDescent="0.25">
      <c r="S40" s="22" t="s">
        <v>10</v>
      </c>
      <c r="T40" s="37">
        <f>'(HIDE) Data Validation'!M113</f>
        <v>16483.2</v>
      </c>
      <c r="U40" s="37">
        <f>'(HIDE) Data Validation'!N113</f>
        <v>0</v>
      </c>
      <c r="V40" s="37">
        <f>'(HIDE) Data Validation'!O113</f>
        <v>0</v>
      </c>
      <c r="W40" s="37">
        <f>'(HIDE) Data Validation'!P113</f>
        <v>0</v>
      </c>
      <c r="X40" s="37">
        <f>'(HIDE) Data Validation'!Q113</f>
        <v>0</v>
      </c>
      <c r="Y40" s="37">
        <f>'(HIDE) Data Validation'!R113</f>
        <v>0</v>
      </c>
      <c r="Z40" s="37">
        <f>'(HIDE) Data Validation'!S113</f>
        <v>0</v>
      </c>
      <c r="AA40" s="37">
        <f>'(HIDE) Data Validation'!T113</f>
        <v>0</v>
      </c>
      <c r="AB40" s="37">
        <f>'(HIDE) Data Validation'!U113</f>
        <v>0</v>
      </c>
      <c r="AC40" s="37">
        <f>'(HIDE) Data Validation'!V113</f>
        <v>0</v>
      </c>
      <c r="AD40" s="37">
        <f>'(HIDE) Data Validation'!W113</f>
        <v>3296.64</v>
      </c>
      <c r="AE40" s="37">
        <f>'(HIDE) Data Validation'!X113</f>
        <v>8241.6</v>
      </c>
      <c r="AF40" s="37">
        <f>'(HIDE) Data Validation'!Y113</f>
        <v>4944.9600000000009</v>
      </c>
      <c r="AG40" s="37">
        <f>'(HIDE) Data Validation'!Z113</f>
        <v>0</v>
      </c>
      <c r="AH40" s="37">
        <f>'(HIDE) Data Validation'!AA113</f>
        <v>0</v>
      </c>
    </row>
    <row r="41" spans="2:34" x14ac:dyDescent="0.25">
      <c r="S41" s="191" t="s">
        <v>11</v>
      </c>
      <c r="T41" s="192">
        <f>'(HIDE) Data Validation'!M114</f>
        <v>18588</v>
      </c>
      <c r="U41" s="193">
        <f>'(HIDE) Data Validation'!N114</f>
        <v>0</v>
      </c>
      <c r="V41" s="193">
        <f>'(HIDE) Data Validation'!O114</f>
        <v>0</v>
      </c>
      <c r="W41" s="193">
        <f>'(HIDE) Data Validation'!P114</f>
        <v>0</v>
      </c>
      <c r="X41" s="193">
        <f>'(HIDE) Data Validation'!Q114</f>
        <v>0</v>
      </c>
      <c r="Y41" s="193">
        <f>'(HIDE) Data Validation'!R114</f>
        <v>0</v>
      </c>
      <c r="Z41" s="193">
        <f>'(HIDE) Data Validation'!S114</f>
        <v>0</v>
      </c>
      <c r="AA41" s="193">
        <f>'(HIDE) Data Validation'!T114</f>
        <v>0</v>
      </c>
      <c r="AB41" s="193">
        <f>'(HIDE) Data Validation'!U114</f>
        <v>0</v>
      </c>
      <c r="AC41" s="193">
        <f>'(HIDE) Data Validation'!V114</f>
        <v>0</v>
      </c>
      <c r="AD41" s="193">
        <f>'(HIDE) Data Validation'!W114</f>
        <v>0</v>
      </c>
      <c r="AE41" s="193">
        <f>'(HIDE) Data Validation'!X114</f>
        <v>3717.6</v>
      </c>
      <c r="AF41" s="193">
        <f>'(HIDE) Data Validation'!Y114</f>
        <v>9294</v>
      </c>
      <c r="AG41" s="193">
        <f>'(HIDE) Data Validation'!Z114</f>
        <v>5576.4</v>
      </c>
      <c r="AH41" s="193">
        <f>'(HIDE) Data Validation'!AA114</f>
        <v>0</v>
      </c>
    </row>
    <row r="42" spans="2:34" x14ac:dyDescent="0.25">
      <c r="S42" s="22" t="s">
        <v>12</v>
      </c>
      <c r="T42" s="37">
        <f>'(HIDE) Data Validation'!M115</f>
        <v>24127.200000000001</v>
      </c>
      <c r="U42" s="37">
        <f>'(HIDE) Data Validation'!N115</f>
        <v>0</v>
      </c>
      <c r="V42" s="37">
        <f>'(HIDE) Data Validation'!O115</f>
        <v>0</v>
      </c>
      <c r="W42" s="37">
        <f>'(HIDE) Data Validation'!P115</f>
        <v>0</v>
      </c>
      <c r="X42" s="37">
        <f>'(HIDE) Data Validation'!Q115</f>
        <v>0</v>
      </c>
      <c r="Y42" s="37">
        <f>'(HIDE) Data Validation'!R115</f>
        <v>0</v>
      </c>
      <c r="Z42" s="37">
        <f>'(HIDE) Data Validation'!S115</f>
        <v>0</v>
      </c>
      <c r="AA42" s="37">
        <f>'(HIDE) Data Validation'!T115</f>
        <v>0</v>
      </c>
      <c r="AB42" s="37">
        <f>'(HIDE) Data Validation'!U115</f>
        <v>0</v>
      </c>
      <c r="AC42" s="37">
        <f>'(HIDE) Data Validation'!V115</f>
        <v>0</v>
      </c>
      <c r="AD42" s="37">
        <f>'(HIDE) Data Validation'!W115</f>
        <v>0</v>
      </c>
      <c r="AE42" s="37">
        <f>'(HIDE) Data Validation'!X115</f>
        <v>0</v>
      </c>
      <c r="AF42" s="37">
        <f>'(HIDE) Data Validation'!Y115</f>
        <v>4825.4399999999996</v>
      </c>
      <c r="AG42" s="37">
        <f>'(HIDE) Data Validation'!Z115</f>
        <v>12063.6</v>
      </c>
      <c r="AH42" s="37">
        <f>'(HIDE) Data Validation'!AA115</f>
        <v>7238.1600000000017</v>
      </c>
    </row>
    <row r="43" spans="2:34" x14ac:dyDescent="0.25">
      <c r="S43" s="194" t="s">
        <v>216</v>
      </c>
      <c r="T43" s="198">
        <f>'(HIDE) Data Validation'!M116</f>
        <v>101108.4</v>
      </c>
      <c r="U43" s="196">
        <f>'(HIDE) Data Validation'!N116</f>
        <v>0</v>
      </c>
      <c r="V43" s="196">
        <f>'(HIDE) Data Validation'!O116</f>
        <v>0</v>
      </c>
      <c r="W43" s="196">
        <f>'(HIDE) Data Validation'!P116</f>
        <v>0</v>
      </c>
      <c r="X43" s="196">
        <f>'(HIDE) Data Validation'!Q116</f>
        <v>0</v>
      </c>
      <c r="Y43" s="196">
        <f>'(HIDE) Data Validation'!R116</f>
        <v>0</v>
      </c>
      <c r="Z43" s="196">
        <f>'(HIDE) Data Validation'!S116</f>
        <v>0</v>
      </c>
      <c r="AA43" s="196">
        <f>'(HIDE) Data Validation'!T116</f>
        <v>2911.92</v>
      </c>
      <c r="AB43" s="196">
        <f>'(HIDE) Data Validation'!U116</f>
        <v>10194.36</v>
      </c>
      <c r="AC43" s="196">
        <f>'(HIDE) Data Validation'!V116</f>
        <v>14209.8</v>
      </c>
      <c r="AD43" s="196">
        <f>'(HIDE) Data Validation'!W116</f>
        <v>14057.28</v>
      </c>
      <c r="AE43" s="196">
        <f>'(HIDE) Data Validation'!X116</f>
        <v>15792.48</v>
      </c>
      <c r="AF43" s="196">
        <f>'(HIDE) Data Validation'!Y116</f>
        <v>19064.400000000001</v>
      </c>
      <c r="AG43" s="196">
        <f>'(HIDE) Data Validation'!Z116</f>
        <v>17640</v>
      </c>
      <c r="AH43" s="196">
        <f>'(HIDE) Data Validation'!AA116</f>
        <v>7238.1600000000017</v>
      </c>
    </row>
    <row r="45" spans="2:34" ht="18.75" x14ac:dyDescent="0.3">
      <c r="T45" s="40"/>
      <c r="U45" s="32"/>
      <c r="W45" s="189"/>
      <c r="AB45" s="184"/>
      <c r="AC45" s="184"/>
      <c r="AD45" s="184"/>
      <c r="AE45" s="184"/>
      <c r="AF45" s="185" t="str">
        <f>"Average "&amp;'(HIDE) Data Validation'!B42&amp;" Accounts Receivable"</f>
        <v>Average Hot Chips Accounts Receivable</v>
      </c>
      <c r="AG45" s="379">
        <f>AVERAGE(T31:T42)</f>
        <v>8425.6999999999989</v>
      </c>
      <c r="AH45" s="379"/>
    </row>
  </sheetData>
  <sheetProtection algorithmName="SHA-512" hashValue="grCUt0nlR2vWs/xgJYWJs1P7GmDWykHTN1IoAPk5rA8LGdnAVG33RaIqIbpIeayfbNjTIj3n2IzijXiEtdjIJA==" saltValue="KSMKxSjwCSAF1IktkunvmA==" spinCount="100000" sheet="1" objects="1" scenarios="1" formatColumns="0" formatRows="0" selectLockedCells="1"/>
  <mergeCells count="20">
    <mergeCell ref="B2:Q2"/>
    <mergeCell ref="B3:Q3"/>
    <mergeCell ref="B4:Q4"/>
    <mergeCell ref="U5:AH5"/>
    <mergeCell ref="U28:AH28"/>
    <mergeCell ref="B5:C6"/>
    <mergeCell ref="S4:AH4"/>
    <mergeCell ref="S25:AH25"/>
    <mergeCell ref="S26:AH26"/>
    <mergeCell ref="S27:AH27"/>
    <mergeCell ref="S2:AH2"/>
    <mergeCell ref="S3:AH3"/>
    <mergeCell ref="S28:T29"/>
    <mergeCell ref="AG45:AH45"/>
    <mergeCell ref="P22:Q22"/>
    <mergeCell ref="P23:Q23"/>
    <mergeCell ref="S5:T6"/>
    <mergeCell ref="AG22:AH22"/>
    <mergeCell ref="D5:Q5"/>
    <mergeCell ref="B32:H37"/>
  </mergeCell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dimension ref="B1:Q44"/>
  <sheetViews>
    <sheetView zoomScale="55" zoomScaleNormal="55" workbookViewId="0">
      <selection activeCell="Q7" sqref="Q7"/>
    </sheetView>
  </sheetViews>
  <sheetFormatPr defaultColWidth="8.85546875" defaultRowHeight="15" x14ac:dyDescent="0.25"/>
  <cols>
    <col min="1" max="1" width="2.7109375" style="1" customWidth="1"/>
    <col min="2" max="2" width="44.7109375" style="1" bestFit="1" customWidth="1"/>
    <col min="3" max="14" width="24.42578125" style="1" customWidth="1"/>
    <col min="15" max="15" width="26.140625" style="7" customWidth="1"/>
    <col min="16" max="16384" width="8.85546875" style="1"/>
  </cols>
  <sheetData>
    <row r="1" spans="2:17" ht="18.75" x14ac:dyDescent="0.3">
      <c r="B1" s="368" t="str">
        <f>IF('Business Setup'!F3="","UNNAMED",'Business Setup'!F3)</f>
        <v>UNNAMED</v>
      </c>
      <c r="C1" s="368"/>
      <c r="D1" s="368"/>
      <c r="E1" s="368"/>
      <c r="F1" s="368"/>
      <c r="G1" s="368"/>
      <c r="H1" s="368"/>
      <c r="I1" s="368"/>
      <c r="J1" s="368"/>
      <c r="K1" s="368"/>
      <c r="L1" s="368"/>
      <c r="M1" s="368"/>
      <c r="N1" s="368"/>
      <c r="O1" s="368"/>
    </row>
    <row r="2" spans="2:17" ht="18.75" x14ac:dyDescent="0.3">
      <c r="B2" s="368" t="s">
        <v>0</v>
      </c>
      <c r="C2" s="368"/>
      <c r="D2" s="368"/>
      <c r="E2" s="368"/>
      <c r="F2" s="368"/>
      <c r="G2" s="368"/>
      <c r="H2" s="368"/>
      <c r="I2" s="368"/>
      <c r="J2" s="368"/>
      <c r="K2" s="368"/>
      <c r="L2" s="368"/>
      <c r="M2" s="368"/>
      <c r="N2" s="368"/>
      <c r="O2" s="368"/>
    </row>
    <row r="3" spans="2:17" ht="18.75" x14ac:dyDescent="0.3">
      <c r="B3" s="368" t="s">
        <v>521</v>
      </c>
      <c r="C3" s="368"/>
      <c r="D3" s="368"/>
      <c r="E3" s="368"/>
      <c r="F3" s="368"/>
      <c r="G3" s="368"/>
      <c r="H3" s="368"/>
      <c r="I3" s="368"/>
      <c r="J3" s="368"/>
      <c r="K3" s="368"/>
      <c r="L3" s="368"/>
      <c r="M3" s="368"/>
      <c r="N3" s="368"/>
      <c r="O3" s="368"/>
    </row>
    <row r="4" spans="2:17" x14ac:dyDescent="0.25">
      <c r="B4" s="67" t="s">
        <v>441</v>
      </c>
      <c r="O4" s="69">
        <f>O38</f>
        <v>100000</v>
      </c>
    </row>
    <row r="5" spans="2:17" x14ac:dyDescent="0.25">
      <c r="C5" s="19" t="s">
        <v>1</v>
      </c>
      <c r="D5" s="19" t="s">
        <v>2</v>
      </c>
      <c r="E5" s="19" t="s">
        <v>3</v>
      </c>
      <c r="F5" s="19" t="s">
        <v>4</v>
      </c>
      <c r="G5" s="19" t="s">
        <v>5</v>
      </c>
      <c r="H5" s="19" t="s">
        <v>6</v>
      </c>
      <c r="I5" s="19" t="s">
        <v>7</v>
      </c>
      <c r="J5" s="19" t="s">
        <v>8</v>
      </c>
      <c r="K5" s="19" t="s">
        <v>9</v>
      </c>
      <c r="L5" s="19" t="s">
        <v>10</v>
      </c>
      <c r="M5" s="19" t="s">
        <v>11</v>
      </c>
      <c r="N5" s="19" t="s">
        <v>12</v>
      </c>
      <c r="O5" s="19" t="s">
        <v>27</v>
      </c>
    </row>
    <row r="6" spans="2:17" ht="15.75" x14ac:dyDescent="0.25">
      <c r="B6" s="109" t="s">
        <v>13</v>
      </c>
      <c r="C6" s="114" t="s">
        <v>38</v>
      </c>
      <c r="D6" s="114" t="s">
        <v>38</v>
      </c>
      <c r="E6" s="114" t="s">
        <v>38</v>
      </c>
      <c r="F6" s="114" t="s">
        <v>38</v>
      </c>
      <c r="G6" s="114" t="s">
        <v>38</v>
      </c>
      <c r="H6" s="114" t="s">
        <v>38</v>
      </c>
      <c r="I6" s="114" t="s">
        <v>38</v>
      </c>
      <c r="J6" s="114" t="s">
        <v>38</v>
      </c>
      <c r="K6" s="114" t="s">
        <v>38</v>
      </c>
      <c r="L6" s="114" t="s">
        <v>38</v>
      </c>
      <c r="M6" s="114" t="s">
        <v>38</v>
      </c>
      <c r="N6" s="114" t="s">
        <v>38</v>
      </c>
      <c r="O6" s="114" t="s">
        <v>38</v>
      </c>
    </row>
    <row r="7" spans="2:17" x14ac:dyDescent="0.25">
      <c r="B7" s="20" t="s">
        <v>14</v>
      </c>
      <c r="C7" s="95">
        <f>'(HIDE) Data Validation'!D20</f>
        <v>50000</v>
      </c>
      <c r="D7" s="95"/>
      <c r="E7" s="95"/>
      <c r="F7" s="95"/>
      <c r="G7" s="95"/>
      <c r="H7" s="95"/>
      <c r="I7" s="95"/>
      <c r="J7" s="95"/>
      <c r="K7" s="95"/>
      <c r="L7" s="95"/>
      <c r="M7" s="95"/>
      <c r="N7" s="95"/>
      <c r="O7" s="96">
        <f t="shared" ref="O7:O13" si="0">SUM(C7:N7)</f>
        <v>50000</v>
      </c>
      <c r="Q7" s="158"/>
    </row>
    <row r="8" spans="2:17" x14ac:dyDescent="0.25">
      <c r="B8" s="104" t="s">
        <v>163</v>
      </c>
      <c r="C8" s="105">
        <f>'(HIDE) Data Validation'!D21</f>
        <v>0</v>
      </c>
      <c r="D8" s="105"/>
      <c r="E8" s="105"/>
      <c r="F8" s="105"/>
      <c r="G8" s="105"/>
      <c r="H8" s="105"/>
      <c r="I8" s="105"/>
      <c r="J8" s="105"/>
      <c r="K8" s="105"/>
      <c r="L8" s="105"/>
      <c r="M8" s="105"/>
      <c r="N8" s="105"/>
      <c r="O8" s="106">
        <f t="shared" si="0"/>
        <v>0</v>
      </c>
    </row>
    <row r="9" spans="2:17" x14ac:dyDescent="0.25">
      <c r="B9" s="20" t="str">
        <f>"Cash Sales ("&amp;'(HIDE) Data Validation'!A7&amp;")"</f>
        <v>Cash Sales (Burgers)</v>
      </c>
      <c r="C9" s="95">
        <f>'(HIDE) Data Validation'!N42</f>
        <v>42686</v>
      </c>
      <c r="D9" s="95">
        <f>'(HIDE) Data Validation'!O42</f>
        <v>75243</v>
      </c>
      <c r="E9" s="95">
        <f>'(HIDE) Data Validation'!P42</f>
        <v>83944</v>
      </c>
      <c r="F9" s="95">
        <f>'(HIDE) Data Validation'!Q42</f>
        <v>125776</v>
      </c>
      <c r="G9" s="95">
        <f>'(HIDE) Data Validation'!R42</f>
        <v>149793</v>
      </c>
      <c r="H9" s="95">
        <f>'(HIDE) Data Validation'!S42</f>
        <v>125069</v>
      </c>
      <c r="I9" s="95">
        <f>'(HIDE) Data Validation'!T42</f>
        <v>167412</v>
      </c>
      <c r="J9" s="95">
        <f>'(HIDE) Data Validation'!U42</f>
        <v>167566</v>
      </c>
      <c r="K9" s="95">
        <f>'(HIDE) Data Validation'!V42</f>
        <v>146923</v>
      </c>
      <c r="L9" s="95">
        <f>'(HIDE) Data Validation'!W42</f>
        <v>189539</v>
      </c>
      <c r="M9" s="95">
        <f>'(HIDE) Data Validation'!X42</f>
        <v>213738</v>
      </c>
      <c r="N9" s="95">
        <f>'(HIDE) Data Validation'!Y42</f>
        <v>277438</v>
      </c>
      <c r="O9" s="96">
        <f t="shared" si="0"/>
        <v>1765127</v>
      </c>
    </row>
    <row r="10" spans="2:17" x14ac:dyDescent="0.25">
      <c r="B10" s="104" t="str">
        <f>"Credit Sales ("&amp;'(HIDE) Data Validation'!A7&amp;")"</f>
        <v>Credit Sales (Burgers)</v>
      </c>
      <c r="C10" s="105">
        <f>'(HIDE) Data Validation'!N101</f>
        <v>3658.8</v>
      </c>
      <c r="D10" s="105">
        <f>'(HIDE) Data Validation'!O101</f>
        <v>15596.4</v>
      </c>
      <c r="E10" s="105">
        <f>'(HIDE) Data Validation'!P101</f>
        <v>28806.9</v>
      </c>
      <c r="F10" s="105">
        <f>'(HIDE) Data Validation'!Q101</f>
        <v>38442.9</v>
      </c>
      <c r="G10" s="105">
        <f>'(HIDE) Data Validation'!R101</f>
        <v>50584.2</v>
      </c>
      <c r="H10" s="105">
        <f>'(HIDE) Data Validation'!S101</f>
        <v>58989.9</v>
      </c>
      <c r="I10" s="105">
        <f>'(HIDE) Data Validation'!T101</f>
        <v>60409.2</v>
      </c>
      <c r="J10" s="105">
        <f>'(HIDE) Data Validation'!U101</f>
        <v>66317.100000000006</v>
      </c>
      <c r="K10" s="105">
        <f>'(HIDE) Data Validation'!V101</f>
        <v>70024.800000000003</v>
      </c>
      <c r="L10" s="105">
        <f>'(HIDE) Data Validation'!W101</f>
        <v>69273.899999999994</v>
      </c>
      <c r="M10" s="105">
        <f>'(HIDE) Data Validation'!X101</f>
        <v>77826</v>
      </c>
      <c r="N10" s="105">
        <f>'(HIDE) Data Validation'!Y101</f>
        <v>93950.7</v>
      </c>
      <c r="O10" s="106">
        <f t="shared" si="0"/>
        <v>633880.79999999993</v>
      </c>
    </row>
    <row r="11" spans="2:17" x14ac:dyDescent="0.25">
      <c r="B11" s="20" t="str">
        <f>"Cash Sales ("&amp;'(HIDE) Data Validation'!B42&amp;")"</f>
        <v>Cash Sales (Hot Chips)</v>
      </c>
      <c r="C11" s="95">
        <f>'(HIDE) Data Validation'!N44</f>
        <v>0</v>
      </c>
      <c r="D11" s="95">
        <f>'(HIDE) Data Validation'!O44</f>
        <v>0</v>
      </c>
      <c r="E11" s="95">
        <f>'(HIDE) Data Validation'!P44</f>
        <v>0</v>
      </c>
      <c r="F11" s="95">
        <f>'(HIDE) Data Validation'!Q44</f>
        <v>0</v>
      </c>
      <c r="G11" s="95">
        <f>'(HIDE) Data Validation'!R44</f>
        <v>0</v>
      </c>
      <c r="H11" s="95">
        <f>'(HIDE) Data Validation'!S44</f>
        <v>0</v>
      </c>
      <c r="I11" s="95">
        <f>'(HIDE) Data Validation'!T44</f>
        <v>33972.400000000001</v>
      </c>
      <c r="J11" s="95">
        <f>'(HIDE) Data Validation'!U44</f>
        <v>34003.199999999997</v>
      </c>
      <c r="K11" s="95">
        <f>'(HIDE) Data Validation'!V44</f>
        <v>29814.400000000001</v>
      </c>
      <c r="L11" s="95">
        <f>'(HIDE) Data Validation'!W44</f>
        <v>38460.800000000003</v>
      </c>
      <c r="M11" s="95">
        <f>'(HIDE) Data Validation'!X44</f>
        <v>43372</v>
      </c>
      <c r="N11" s="95">
        <f>'(HIDE) Data Validation'!Y44</f>
        <v>56296.800000000003</v>
      </c>
      <c r="O11" s="96">
        <f t="shared" si="0"/>
        <v>235919.59999999998</v>
      </c>
    </row>
    <row r="12" spans="2:17" x14ac:dyDescent="0.25">
      <c r="B12" s="104" t="str">
        <f>"Credit Sales ("&amp;'(HIDE) Data Validation'!B42&amp;")"</f>
        <v>Credit Sales (Hot Chips)</v>
      </c>
      <c r="C12" s="105">
        <f>'(HIDE) Data Validation'!N116</f>
        <v>0</v>
      </c>
      <c r="D12" s="105">
        <f>'(HIDE) Data Validation'!O116</f>
        <v>0</v>
      </c>
      <c r="E12" s="105">
        <f>'(HIDE) Data Validation'!P116</f>
        <v>0</v>
      </c>
      <c r="F12" s="105">
        <f>'(HIDE) Data Validation'!Q116</f>
        <v>0</v>
      </c>
      <c r="G12" s="105">
        <f>'(HIDE) Data Validation'!R116</f>
        <v>0</v>
      </c>
      <c r="H12" s="105">
        <f>'(HIDE) Data Validation'!S116</f>
        <v>0</v>
      </c>
      <c r="I12" s="105">
        <f>'(HIDE) Data Validation'!T116</f>
        <v>2911.92</v>
      </c>
      <c r="J12" s="105">
        <f>'(HIDE) Data Validation'!U116</f>
        <v>10194.36</v>
      </c>
      <c r="K12" s="105">
        <f>'(HIDE) Data Validation'!V116</f>
        <v>14209.8</v>
      </c>
      <c r="L12" s="105">
        <f>'(HIDE) Data Validation'!W116</f>
        <v>14057.28</v>
      </c>
      <c r="M12" s="105">
        <f>'(HIDE) Data Validation'!X116</f>
        <v>15792.48</v>
      </c>
      <c r="N12" s="105">
        <f>'(HIDE) Data Validation'!Y116</f>
        <v>19064.400000000001</v>
      </c>
      <c r="O12" s="106">
        <f t="shared" si="0"/>
        <v>76230.239999999991</v>
      </c>
    </row>
    <row r="13" spans="2:17" x14ac:dyDescent="0.25">
      <c r="B13" s="267" t="s">
        <v>683</v>
      </c>
      <c r="C13" s="268"/>
      <c r="D13" s="268">
        <f>'(HIDE) Data Validation'!O124</f>
        <v>8000</v>
      </c>
      <c r="E13" s="268">
        <f>'(HIDE) Data Validation'!P124</f>
        <v>26000</v>
      </c>
      <c r="F13" s="268">
        <f>'(HIDE) Data Validation'!Q124</f>
        <v>18000</v>
      </c>
      <c r="G13" s="268">
        <f>'(HIDE) Data Validation'!R124</f>
        <v>11000</v>
      </c>
      <c r="H13" s="268">
        <f>'(HIDE) Data Validation'!S124</f>
        <v>0</v>
      </c>
      <c r="I13" s="268">
        <f>'(HIDE) Data Validation'!T124</f>
        <v>0</v>
      </c>
      <c r="J13" s="268">
        <f>'(HIDE) Data Validation'!U124</f>
        <v>0</v>
      </c>
      <c r="K13" s="268">
        <f>'(HIDE) Data Validation'!V124</f>
        <v>0</v>
      </c>
      <c r="L13" s="268">
        <f>'(HIDE) Data Validation'!W124</f>
        <v>0</v>
      </c>
      <c r="M13" s="268">
        <f>'(HIDE) Data Validation'!X124</f>
        <v>0</v>
      </c>
      <c r="N13" s="268">
        <f>'(HIDE) Data Validation'!Y124</f>
        <v>0</v>
      </c>
      <c r="O13" s="269">
        <f t="shared" si="0"/>
        <v>63000</v>
      </c>
    </row>
    <row r="14" spans="2:17" x14ac:dyDescent="0.25">
      <c r="B14" s="104"/>
      <c r="C14" s="105"/>
      <c r="D14" s="105"/>
      <c r="E14" s="105"/>
      <c r="F14" s="105"/>
      <c r="G14" s="105"/>
      <c r="H14" s="105"/>
      <c r="I14" s="105"/>
      <c r="J14" s="105"/>
      <c r="K14" s="105"/>
      <c r="L14" s="105"/>
      <c r="M14" s="105"/>
      <c r="N14" s="105"/>
      <c r="O14" s="106"/>
    </row>
    <row r="15" spans="2:17" s="7" customFormat="1" ht="15.75" x14ac:dyDescent="0.25">
      <c r="B15" s="21" t="s">
        <v>15</v>
      </c>
      <c r="C15" s="97">
        <f>SUM(C7:C14)</f>
        <v>96344.8</v>
      </c>
      <c r="D15" s="97">
        <f>SUM(D7:D14)</f>
        <v>98839.4</v>
      </c>
      <c r="E15" s="97">
        <f t="shared" ref="E15:N15" si="1">SUM(E7:E14)</f>
        <v>138750.9</v>
      </c>
      <c r="F15" s="97">
        <f t="shared" si="1"/>
        <v>182218.9</v>
      </c>
      <c r="G15" s="97">
        <f t="shared" si="1"/>
        <v>211377.2</v>
      </c>
      <c r="H15" s="97">
        <f t="shared" si="1"/>
        <v>184058.9</v>
      </c>
      <c r="I15" s="97">
        <f t="shared" si="1"/>
        <v>264705.52</v>
      </c>
      <c r="J15" s="97">
        <f t="shared" si="1"/>
        <v>278080.65999999997</v>
      </c>
      <c r="K15" s="97">
        <f t="shared" si="1"/>
        <v>260971.99999999997</v>
      </c>
      <c r="L15" s="97">
        <f t="shared" si="1"/>
        <v>311330.98000000004</v>
      </c>
      <c r="M15" s="97">
        <f t="shared" si="1"/>
        <v>350728.48</v>
      </c>
      <c r="N15" s="97">
        <f t="shared" si="1"/>
        <v>446749.9</v>
      </c>
      <c r="O15" s="97">
        <f>SUM(C15:N15)</f>
        <v>2824157.64</v>
      </c>
    </row>
    <row r="16" spans="2:17" x14ac:dyDescent="0.25">
      <c r="B16" s="110"/>
      <c r="C16" s="105"/>
      <c r="D16" s="105"/>
      <c r="E16" s="105"/>
      <c r="F16" s="105"/>
      <c r="G16" s="105"/>
      <c r="H16" s="105"/>
      <c r="I16" s="105"/>
      <c r="J16" s="105"/>
      <c r="K16" s="105"/>
      <c r="L16" s="105"/>
      <c r="M16" s="105"/>
      <c r="N16" s="105"/>
      <c r="O16" s="106"/>
    </row>
    <row r="17" spans="2:15" ht="15.75" x14ac:dyDescent="0.25">
      <c r="B17" s="21" t="s">
        <v>16</v>
      </c>
      <c r="C17" s="95"/>
      <c r="D17" s="95"/>
      <c r="E17" s="95"/>
      <c r="F17" s="95"/>
      <c r="G17" s="95"/>
      <c r="H17" s="95"/>
      <c r="I17" s="95"/>
      <c r="J17" s="95"/>
      <c r="K17" s="95"/>
      <c r="L17" s="95"/>
      <c r="M17" s="95"/>
      <c r="N17" s="95"/>
      <c r="O17" s="96"/>
    </row>
    <row r="18" spans="2:15" x14ac:dyDescent="0.25">
      <c r="B18" s="104" t="s">
        <v>102</v>
      </c>
      <c r="C18" s="105">
        <f>'(HIDE) Data Validation'!B13</f>
        <v>120000</v>
      </c>
      <c r="D18" s="105"/>
      <c r="E18" s="105"/>
      <c r="F18" s="105"/>
      <c r="G18" s="105"/>
      <c r="H18" s="105"/>
      <c r="I18" s="105"/>
      <c r="J18" s="105"/>
      <c r="K18" s="105"/>
      <c r="L18" s="105"/>
      <c r="M18" s="105"/>
      <c r="N18" s="105"/>
      <c r="O18" s="106">
        <f t="shared" ref="O18:O33" si="2">SUM(C18:N18)</f>
        <v>120000</v>
      </c>
    </row>
    <row r="19" spans="2:15" x14ac:dyDescent="0.25">
      <c r="B19" s="20" t="str">
        <f>"Food Purchases ("&amp;'(HIDE) Data Validation'!A7&amp;")"</f>
        <v>Food Purchases (Burgers)</v>
      </c>
      <c r="C19" s="95">
        <f>'(HIDE) Data Validation'!N19</f>
        <v>35141</v>
      </c>
      <c r="D19" s="95">
        <f>'(HIDE) Data Validation'!O19</f>
        <v>44239</v>
      </c>
      <c r="E19" s="95">
        <f>'(HIDE) Data Validation'!P19</f>
        <v>53944</v>
      </c>
      <c r="F19" s="95">
        <f>'(HIDE) Data Validation'!Q19</f>
        <v>75303</v>
      </c>
      <c r="G19" s="95">
        <f>'(HIDE) Data Validation'!R19</f>
        <v>82064</v>
      </c>
      <c r="H19" s="95">
        <f>'(HIDE) Data Validation'!S19</f>
        <v>77517</v>
      </c>
      <c r="I19" s="95">
        <f>'(HIDE) Data Validation'!T19</f>
        <v>95686</v>
      </c>
      <c r="J19" s="95">
        <f>'(HIDE) Data Validation'!U19</f>
        <v>92803</v>
      </c>
      <c r="K19" s="95">
        <f>'(HIDE) Data Validation'!V19</f>
        <v>90044</v>
      </c>
      <c r="L19" s="95">
        <f>'(HIDE) Data Validation'!W19</f>
        <v>111765</v>
      </c>
      <c r="M19" s="95">
        <f>'(HIDE) Data Validation'!X19</f>
        <v>131236</v>
      </c>
      <c r="N19" s="95">
        <f>'(HIDE) Data Validation'!Y19</f>
        <v>144743</v>
      </c>
      <c r="O19" s="96">
        <f t="shared" si="2"/>
        <v>1034485</v>
      </c>
    </row>
    <row r="20" spans="2:15" x14ac:dyDescent="0.25">
      <c r="B20" s="104" t="str">
        <f>"Food Purchases ("&amp;'(HIDE) Data Validation'!B42&amp;")"</f>
        <v>Food Purchases (Hot Chips)</v>
      </c>
      <c r="C20" s="105"/>
      <c r="D20" s="105"/>
      <c r="E20" s="105"/>
      <c r="F20" s="105"/>
      <c r="G20" s="105"/>
      <c r="H20" s="105"/>
      <c r="I20" s="105">
        <f>ROUND('(HIDE) Data Validation'!T40,2)</f>
        <v>21236.6</v>
      </c>
      <c r="J20" s="105">
        <f>ROUND('(HIDE) Data Validation'!U40,2)</f>
        <v>16478</v>
      </c>
      <c r="K20" s="105">
        <f>ROUND('(HIDE) Data Validation'!V40,2)</f>
        <v>15988</v>
      </c>
      <c r="L20" s="105">
        <f>ROUND('(HIDE) Data Validation'!W40,2)</f>
        <v>19844.3</v>
      </c>
      <c r="M20" s="105">
        <f>ROUND('(HIDE) Data Validation'!X40,2)</f>
        <v>23301.599999999999</v>
      </c>
      <c r="N20" s="105">
        <f>ROUND('(HIDE) Data Validation'!Y40,2)</f>
        <v>25699.45</v>
      </c>
      <c r="O20" s="106">
        <f>ROUND(SUM(C20:N20),2)</f>
        <v>122547.95</v>
      </c>
    </row>
    <row r="21" spans="2:15" x14ac:dyDescent="0.25">
      <c r="B21" s="20" t="s">
        <v>314</v>
      </c>
      <c r="C21" s="95">
        <f>'(HIDE) Data Validation'!N67</f>
        <v>244</v>
      </c>
      <c r="D21" s="95">
        <f>'(HIDE) Data Validation'!O67</f>
        <v>607</v>
      </c>
      <c r="E21" s="95">
        <f>'(HIDE) Data Validation'!P67</f>
        <v>480</v>
      </c>
      <c r="F21" s="95">
        <f>'(HIDE) Data Validation'!Q67</f>
        <v>719</v>
      </c>
      <c r="G21" s="95">
        <f>'(HIDE) Data Validation'!R67</f>
        <v>856</v>
      </c>
      <c r="H21" s="95">
        <f>'(HIDE) Data Validation'!S67</f>
        <v>715</v>
      </c>
      <c r="I21" s="95">
        <f>'(HIDE) Data Validation'!T67</f>
        <v>1005</v>
      </c>
      <c r="J21" s="95">
        <f>'(HIDE) Data Validation'!U67</f>
        <v>1006</v>
      </c>
      <c r="K21" s="95">
        <f>'(HIDE) Data Validation'!V67</f>
        <v>882</v>
      </c>
      <c r="L21" s="95">
        <f>'(HIDE) Data Validation'!W67</f>
        <v>1138</v>
      </c>
      <c r="M21" s="95">
        <f>'(HIDE) Data Validation'!X67</f>
        <v>1283</v>
      </c>
      <c r="N21" s="95">
        <f>'(HIDE) Data Validation'!Y67</f>
        <v>1666</v>
      </c>
      <c r="O21" s="96">
        <f t="shared" si="2"/>
        <v>10601</v>
      </c>
    </row>
    <row r="22" spans="2:15" x14ac:dyDescent="0.25">
      <c r="B22" s="104" t="s">
        <v>17</v>
      </c>
      <c r="C22" s="105">
        <v>0</v>
      </c>
      <c r="D22" s="105">
        <f>'(HIDE) Data Validation'!$H$13</f>
        <v>28000</v>
      </c>
      <c r="E22" s="105">
        <f>'(HIDE) Data Validation'!$H$13</f>
        <v>28000</v>
      </c>
      <c r="F22" s="105">
        <f>'(HIDE) Data Validation'!$H$13</f>
        <v>28000</v>
      </c>
      <c r="G22" s="105">
        <f>'(HIDE) Data Validation'!$H$13</f>
        <v>28000</v>
      </c>
      <c r="H22" s="105">
        <f>'(HIDE) Data Validation'!$H$13</f>
        <v>28000</v>
      </c>
      <c r="I22" s="105">
        <f>'(HIDE) Data Validation'!$H$13</f>
        <v>28000</v>
      </c>
      <c r="J22" s="105">
        <f>'(HIDE) Data Validation'!$H$13</f>
        <v>28000</v>
      </c>
      <c r="K22" s="105">
        <f>'(HIDE) Data Validation'!$H$13</f>
        <v>28000</v>
      </c>
      <c r="L22" s="105">
        <f>'(HIDE) Data Validation'!$H$13</f>
        <v>28000</v>
      </c>
      <c r="M22" s="105">
        <f>'(HIDE) Data Validation'!$H$13</f>
        <v>28000</v>
      </c>
      <c r="N22" s="105">
        <f>'(HIDE) Data Validation'!$H$13</f>
        <v>28000</v>
      </c>
      <c r="O22" s="106">
        <f t="shared" si="2"/>
        <v>308000</v>
      </c>
    </row>
    <row r="23" spans="2:15" x14ac:dyDescent="0.25">
      <c r="B23" s="20" t="s">
        <v>18</v>
      </c>
      <c r="C23" s="95">
        <f>'(HIDE) Data Validation'!N24</f>
        <v>0</v>
      </c>
      <c r="D23" s="95">
        <f>'(HIDE) Data Validation'!O24</f>
        <v>2400</v>
      </c>
      <c r="E23" s="95">
        <f>'(HIDE) Data Validation'!P24</f>
        <v>2400</v>
      </c>
      <c r="F23" s="95">
        <f>'(HIDE) Data Validation'!Q24</f>
        <v>2400</v>
      </c>
      <c r="G23" s="95">
        <f>'(HIDE) Data Validation'!R24</f>
        <v>3600</v>
      </c>
      <c r="H23" s="95">
        <f>'(HIDE) Data Validation'!S24</f>
        <v>4800</v>
      </c>
      <c r="I23" s="95">
        <f>'(HIDE) Data Validation'!T24</f>
        <v>4800</v>
      </c>
      <c r="J23" s="95">
        <f>'(HIDE) Data Validation'!U24</f>
        <v>4800</v>
      </c>
      <c r="K23" s="95">
        <f>'(HIDE) Data Validation'!V24</f>
        <v>4800</v>
      </c>
      <c r="L23" s="95">
        <f>'(HIDE) Data Validation'!W24</f>
        <v>4800</v>
      </c>
      <c r="M23" s="95">
        <f>'(HIDE) Data Validation'!X24</f>
        <v>6000</v>
      </c>
      <c r="N23" s="95">
        <f>'(HIDE) Data Validation'!Y24</f>
        <v>7200</v>
      </c>
      <c r="O23" s="96">
        <f t="shared" si="2"/>
        <v>48000</v>
      </c>
    </row>
    <row r="24" spans="2:15" x14ac:dyDescent="0.25">
      <c r="B24" s="104" t="s">
        <v>19</v>
      </c>
      <c r="C24" s="105">
        <v>0</v>
      </c>
      <c r="D24" s="105">
        <v>300</v>
      </c>
      <c r="E24" s="105">
        <v>300</v>
      </c>
      <c r="F24" s="105">
        <v>300</v>
      </c>
      <c r="G24" s="105">
        <v>300</v>
      </c>
      <c r="H24" s="105">
        <v>300</v>
      </c>
      <c r="I24" s="105">
        <v>300</v>
      </c>
      <c r="J24" s="105">
        <v>300</v>
      </c>
      <c r="K24" s="105">
        <v>300</v>
      </c>
      <c r="L24" s="105">
        <v>300</v>
      </c>
      <c r="M24" s="105">
        <v>300</v>
      </c>
      <c r="N24" s="105">
        <v>300</v>
      </c>
      <c r="O24" s="106">
        <f t="shared" si="2"/>
        <v>3300</v>
      </c>
    </row>
    <row r="25" spans="2:15" x14ac:dyDescent="0.25">
      <c r="B25" s="20" t="s">
        <v>28</v>
      </c>
      <c r="C25" s="95">
        <v>0</v>
      </c>
      <c r="D25" s="95">
        <f>'(HIDE) Data Validation'!$J$3+'(HIDE) Data Validation'!J120</f>
        <v>5000</v>
      </c>
      <c r="E25" s="95">
        <f>'(HIDE) Data Validation'!$J$3</f>
        <v>5000</v>
      </c>
      <c r="F25" s="95">
        <f>'(HIDE) Data Validation'!$J$3</f>
        <v>5000</v>
      </c>
      <c r="G25" s="95">
        <f>'(HIDE) Data Validation'!$J$3</f>
        <v>5000</v>
      </c>
      <c r="H25" s="95">
        <f>'(HIDE) Data Validation'!$J$3</f>
        <v>5000</v>
      </c>
      <c r="I25" s="95">
        <f>'(HIDE) Data Validation'!$J$3</f>
        <v>5000</v>
      </c>
      <c r="J25" s="95">
        <f>'(HIDE) Data Validation'!$J$3</f>
        <v>5000</v>
      </c>
      <c r="K25" s="95">
        <f>'(HIDE) Data Validation'!$J$3</f>
        <v>5000</v>
      </c>
      <c r="L25" s="95">
        <f>'(HIDE) Data Validation'!$J$3</f>
        <v>5000</v>
      </c>
      <c r="M25" s="95">
        <f>'(HIDE) Data Validation'!$J$3</f>
        <v>5000</v>
      </c>
      <c r="N25" s="95">
        <f>'(HIDE) Data Validation'!$J$3</f>
        <v>5000</v>
      </c>
      <c r="O25" s="96">
        <f t="shared" si="2"/>
        <v>55000</v>
      </c>
    </row>
    <row r="26" spans="2:15" x14ac:dyDescent="0.25">
      <c r="B26" s="104" t="s">
        <v>20</v>
      </c>
      <c r="C26" s="105">
        <v>0</v>
      </c>
      <c r="D26" s="105">
        <v>6800</v>
      </c>
      <c r="E26" s="105">
        <v>6800</v>
      </c>
      <c r="F26" s="105">
        <v>6800</v>
      </c>
      <c r="G26" s="105">
        <v>6800</v>
      </c>
      <c r="H26" s="105">
        <v>6800</v>
      </c>
      <c r="I26" s="105">
        <v>6800</v>
      </c>
      <c r="J26" s="105">
        <v>6800</v>
      </c>
      <c r="K26" s="105">
        <v>6800</v>
      </c>
      <c r="L26" s="105">
        <v>6800</v>
      </c>
      <c r="M26" s="105">
        <v>6800</v>
      </c>
      <c r="N26" s="105">
        <v>6800</v>
      </c>
      <c r="O26" s="106">
        <f t="shared" si="2"/>
        <v>74800</v>
      </c>
    </row>
    <row r="27" spans="2:15" x14ac:dyDescent="0.25">
      <c r="B27" s="20" t="s">
        <v>21</v>
      </c>
      <c r="C27" s="95">
        <v>0</v>
      </c>
      <c r="D27" s="95">
        <f>'(HIDE) Data Validation'!O17</f>
        <v>25600</v>
      </c>
      <c r="E27" s="95">
        <f>'(HIDE) Data Validation'!P17</f>
        <v>30720</v>
      </c>
      <c r="F27" s="95">
        <f>'(HIDE) Data Validation'!Q17</f>
        <v>30720</v>
      </c>
      <c r="G27" s="95">
        <f>'(HIDE) Data Validation'!R17</f>
        <v>40960</v>
      </c>
      <c r="H27" s="95">
        <f>'(HIDE) Data Validation'!S17</f>
        <v>51200</v>
      </c>
      <c r="I27" s="95">
        <f>'(HIDE) Data Validation'!T17</f>
        <v>40960</v>
      </c>
      <c r="J27" s="95">
        <f>'(HIDE) Data Validation'!U17</f>
        <v>81920</v>
      </c>
      <c r="K27" s="95">
        <f>'(HIDE) Data Validation'!V17</f>
        <v>81920</v>
      </c>
      <c r="L27" s="95">
        <f>'(HIDE) Data Validation'!W17</f>
        <v>66560</v>
      </c>
      <c r="M27" s="95">
        <f>'(HIDE) Data Validation'!X17</f>
        <v>92160</v>
      </c>
      <c r="N27" s="95">
        <f>'(HIDE) Data Validation'!Y17</f>
        <v>97280</v>
      </c>
      <c r="O27" s="96">
        <f>SUM(D27:N27)</f>
        <v>640000</v>
      </c>
    </row>
    <row r="28" spans="2:15" x14ac:dyDescent="0.25">
      <c r="B28" s="104" t="s">
        <v>22</v>
      </c>
      <c r="C28" s="105">
        <f>'(HIDE) Data Validation'!N126</f>
        <v>1489.58</v>
      </c>
      <c r="D28" s="105">
        <f>'(HIDE) Data Validation'!O126</f>
        <v>1727.91</v>
      </c>
      <c r="E28" s="105">
        <f>'(HIDE) Data Validation'!P126</f>
        <v>2502.5</v>
      </c>
      <c r="F28" s="105">
        <f>'(HIDE) Data Validation'!Q126</f>
        <v>3038.74</v>
      </c>
      <c r="G28" s="105">
        <f>'(HIDE) Data Validation'!R126</f>
        <v>3366.45</v>
      </c>
      <c r="H28" s="105">
        <f>'(HIDE) Data Validation'!S126</f>
        <v>3366.45</v>
      </c>
      <c r="I28" s="105">
        <f>'(HIDE) Data Validation'!T126</f>
        <v>3366.45</v>
      </c>
      <c r="J28" s="105">
        <f>'(HIDE) Data Validation'!U126</f>
        <v>3366.45</v>
      </c>
      <c r="K28" s="105">
        <f>'(HIDE) Data Validation'!V126</f>
        <v>3366.45</v>
      </c>
      <c r="L28" s="105">
        <f>'(HIDE) Data Validation'!W126</f>
        <v>3366.45</v>
      </c>
      <c r="M28" s="105">
        <f>'(HIDE) Data Validation'!X126</f>
        <v>3366.45</v>
      </c>
      <c r="N28" s="105">
        <f>'(HIDE) Data Validation'!Y126</f>
        <v>3366.45</v>
      </c>
      <c r="O28" s="106">
        <f t="shared" si="2"/>
        <v>35690.33</v>
      </c>
    </row>
    <row r="29" spans="2:15" x14ac:dyDescent="0.25">
      <c r="B29" s="20" t="s">
        <v>524</v>
      </c>
      <c r="C29" s="95">
        <f>'(HIDE) Data Validation'!I34</f>
        <v>0</v>
      </c>
      <c r="D29" s="95"/>
      <c r="E29" s="95"/>
      <c r="F29" s="95"/>
      <c r="G29" s="95"/>
      <c r="H29" s="95"/>
      <c r="I29" s="95"/>
      <c r="J29" s="95"/>
      <c r="K29" s="95"/>
      <c r="L29" s="95"/>
      <c r="M29" s="95"/>
      <c r="N29" s="95"/>
      <c r="O29" s="96">
        <f t="shared" si="2"/>
        <v>0</v>
      </c>
    </row>
    <row r="30" spans="2:15" ht="15" customHeight="1" x14ac:dyDescent="0.25">
      <c r="B30" s="104" t="s">
        <v>526</v>
      </c>
      <c r="C30" s="105">
        <f>'(HIDE) Data Validation'!N50</f>
        <v>5000</v>
      </c>
      <c r="D30" s="105">
        <f>'(HIDE) Data Validation'!O50</f>
        <v>2500</v>
      </c>
      <c r="E30" s="105">
        <f>'(HIDE) Data Validation'!P50</f>
        <v>0</v>
      </c>
      <c r="F30" s="105">
        <f>'(HIDE) Data Validation'!Q50</f>
        <v>2500</v>
      </c>
      <c r="G30" s="105">
        <f>'(HIDE) Data Validation'!R50</f>
        <v>2500</v>
      </c>
      <c r="H30" s="105">
        <f>'(HIDE) Data Validation'!S50</f>
        <v>0</v>
      </c>
      <c r="I30" s="105">
        <f>'(HIDE) Data Validation'!T50</f>
        <v>7500</v>
      </c>
      <c r="J30" s="105">
        <f>'(HIDE) Data Validation'!U50</f>
        <v>0</v>
      </c>
      <c r="K30" s="105">
        <f>'(HIDE) Data Validation'!V50</f>
        <v>0</v>
      </c>
      <c r="L30" s="105">
        <f>'(HIDE) Data Validation'!W50</f>
        <v>2500</v>
      </c>
      <c r="M30" s="105">
        <f>'(HIDE) Data Validation'!X50</f>
        <v>2500</v>
      </c>
      <c r="N30" s="105">
        <f>'(HIDE) Data Validation'!Y50</f>
        <v>5000</v>
      </c>
      <c r="O30" s="106">
        <f t="shared" si="2"/>
        <v>30000</v>
      </c>
    </row>
    <row r="31" spans="2:15" x14ac:dyDescent="0.25">
      <c r="B31" s="20" t="s">
        <v>525</v>
      </c>
      <c r="C31" s="95">
        <f>'(HIDE) Data Validation'!N36</f>
        <v>42000</v>
      </c>
      <c r="D31" s="95">
        <f>'(HIDE) Data Validation'!O36</f>
        <v>0</v>
      </c>
      <c r="E31" s="95">
        <f>'(HIDE) Data Validation'!P36</f>
        <v>0</v>
      </c>
      <c r="F31" s="95">
        <f>'(HIDE) Data Validation'!Q36</f>
        <v>21000</v>
      </c>
      <c r="G31" s="95">
        <f>'(HIDE) Data Validation'!R36</f>
        <v>21000</v>
      </c>
      <c r="H31" s="95">
        <f>'(HIDE) Data Validation'!S36</f>
        <v>0</v>
      </c>
      <c r="I31" s="95">
        <f>'(HIDE) Data Validation'!T36</f>
        <v>8000</v>
      </c>
      <c r="J31" s="95">
        <f>'(HIDE) Data Validation'!U36</f>
        <v>0</v>
      </c>
      <c r="K31" s="95">
        <f>'(HIDE) Data Validation'!V36</f>
        <v>0</v>
      </c>
      <c r="L31" s="95">
        <f>'(HIDE) Data Validation'!W36</f>
        <v>21000</v>
      </c>
      <c r="M31" s="95">
        <f>'(HIDE) Data Validation'!X36</f>
        <v>21000</v>
      </c>
      <c r="N31" s="95">
        <f>'(HIDE) Data Validation'!Y36</f>
        <v>25000</v>
      </c>
      <c r="O31" s="96">
        <f t="shared" si="2"/>
        <v>159000</v>
      </c>
    </row>
    <row r="32" spans="2:15" x14ac:dyDescent="0.25">
      <c r="B32" s="104" t="s">
        <v>148</v>
      </c>
      <c r="C32" s="105" t="str">
        <f>'(HIDE) Data Validation'!$B$16</f>
        <v/>
      </c>
      <c r="D32" s="105" t="str">
        <f>'(HIDE) Data Validation'!$B$16</f>
        <v/>
      </c>
      <c r="E32" s="105" t="str">
        <f>'(HIDE) Data Validation'!$B$16</f>
        <v/>
      </c>
      <c r="F32" s="105" t="str">
        <f>'(HIDE) Data Validation'!$B$16</f>
        <v/>
      </c>
      <c r="G32" s="105" t="str">
        <f>'(HIDE) Data Validation'!$B$16</f>
        <v/>
      </c>
      <c r="H32" s="105" t="str">
        <f>'(HIDE) Data Validation'!$B$16</f>
        <v/>
      </c>
      <c r="I32" s="105" t="str">
        <f>'(HIDE) Data Validation'!$B$16</f>
        <v/>
      </c>
      <c r="J32" s="105" t="str">
        <f>'(HIDE) Data Validation'!$B$16</f>
        <v/>
      </c>
      <c r="K32" s="105" t="str">
        <f>'(HIDE) Data Validation'!$B$16</f>
        <v/>
      </c>
      <c r="L32" s="105" t="str">
        <f>'(HIDE) Data Validation'!$B$16</f>
        <v/>
      </c>
      <c r="M32" s="105" t="str">
        <f>'(HIDE) Data Validation'!$B$16</f>
        <v/>
      </c>
      <c r="N32" s="105" t="str">
        <f>'(HIDE) Data Validation'!$B$16</f>
        <v/>
      </c>
      <c r="O32" s="106">
        <f t="shared" si="2"/>
        <v>0</v>
      </c>
    </row>
    <row r="33" spans="2:15" x14ac:dyDescent="0.25">
      <c r="B33" s="20" t="str">
        <f>'(HIDE) Data Validation'!K54</f>
        <v/>
      </c>
      <c r="C33" s="95" t="str">
        <f>'(HIDE) Data Validation'!N65</f>
        <v/>
      </c>
      <c r="D33" s="95" t="str">
        <f>'(HIDE) Data Validation'!O65</f>
        <v/>
      </c>
      <c r="E33" s="95" t="str">
        <f>'(HIDE) Data Validation'!P65</f>
        <v/>
      </c>
      <c r="F33" s="95" t="str">
        <f>'(HIDE) Data Validation'!Q65</f>
        <v/>
      </c>
      <c r="G33" s="95" t="str">
        <f>'(HIDE) Data Validation'!R65</f>
        <v/>
      </c>
      <c r="H33" s="95" t="str">
        <f>'(HIDE) Data Validation'!S65</f>
        <v/>
      </c>
      <c r="I33" s="95" t="str">
        <f>'(HIDE) Data Validation'!T65</f>
        <v/>
      </c>
      <c r="J33" s="95" t="str">
        <f>'(HIDE) Data Validation'!U65</f>
        <v/>
      </c>
      <c r="K33" s="95" t="str">
        <f>'(HIDE) Data Validation'!V65</f>
        <v/>
      </c>
      <c r="L33" s="95" t="str">
        <f>'(HIDE) Data Validation'!W65</f>
        <v/>
      </c>
      <c r="M33" s="95" t="str">
        <f>'(HIDE) Data Validation'!X65</f>
        <v/>
      </c>
      <c r="N33" s="95" t="str">
        <f>'(HIDE) Data Validation'!Y65</f>
        <v/>
      </c>
      <c r="O33" s="96">
        <f t="shared" si="2"/>
        <v>0</v>
      </c>
    </row>
    <row r="34" spans="2:15" s="7" customFormat="1" ht="15.75" x14ac:dyDescent="0.25">
      <c r="B34" s="107" t="s">
        <v>23</v>
      </c>
      <c r="C34" s="108">
        <f>SUM(C18:C33)</f>
        <v>203874.58</v>
      </c>
      <c r="D34" s="108">
        <f t="shared" ref="D34:N34" si="3">SUM(D18:D33)</f>
        <v>117173.91</v>
      </c>
      <c r="E34" s="108">
        <f t="shared" si="3"/>
        <v>130146.5</v>
      </c>
      <c r="F34" s="108">
        <f t="shared" si="3"/>
        <v>175780.74</v>
      </c>
      <c r="G34" s="108">
        <f t="shared" si="3"/>
        <v>194446.45</v>
      </c>
      <c r="H34" s="108">
        <f t="shared" si="3"/>
        <v>177698.45</v>
      </c>
      <c r="I34" s="108">
        <f t="shared" si="3"/>
        <v>222654.05000000002</v>
      </c>
      <c r="J34" s="108">
        <f t="shared" si="3"/>
        <v>240473.45</v>
      </c>
      <c r="K34" s="108">
        <f t="shared" si="3"/>
        <v>237100.45</v>
      </c>
      <c r="L34" s="108">
        <f t="shared" si="3"/>
        <v>271073.75</v>
      </c>
      <c r="M34" s="108">
        <f t="shared" si="3"/>
        <v>320947.05</v>
      </c>
      <c r="N34" s="108">
        <f t="shared" si="3"/>
        <v>350054.9</v>
      </c>
      <c r="O34" s="108">
        <f>SUM(C34:N34)</f>
        <v>2641424.2799999998</v>
      </c>
    </row>
    <row r="35" spans="2:15" x14ac:dyDescent="0.25">
      <c r="B35" s="10"/>
      <c r="C35" s="95"/>
      <c r="D35" s="95"/>
      <c r="E35" s="95"/>
      <c r="F35" s="95"/>
      <c r="G35" s="95"/>
      <c r="H35" s="95"/>
      <c r="I35" s="95"/>
      <c r="J35" s="95"/>
      <c r="K35" s="95"/>
      <c r="L35" s="95"/>
      <c r="M35" s="95"/>
      <c r="N35" s="95"/>
      <c r="O35" s="96"/>
    </row>
    <row r="36" spans="2:15" x14ac:dyDescent="0.25">
      <c r="B36" s="116" t="s">
        <v>24</v>
      </c>
      <c r="C36" s="105">
        <f>C15-C34</f>
        <v>-107529.77999999998</v>
      </c>
      <c r="D36" s="105">
        <f t="shared" ref="D36:N36" si="4">D15-D34</f>
        <v>-18334.510000000009</v>
      </c>
      <c r="E36" s="105">
        <f t="shared" si="4"/>
        <v>8604.3999999999942</v>
      </c>
      <c r="F36" s="105">
        <f t="shared" si="4"/>
        <v>6438.1600000000035</v>
      </c>
      <c r="G36" s="105">
        <f t="shared" si="4"/>
        <v>16930.75</v>
      </c>
      <c r="H36" s="105">
        <f t="shared" si="4"/>
        <v>6360.4499999999825</v>
      </c>
      <c r="I36" s="105">
        <f t="shared" si="4"/>
        <v>42051.47</v>
      </c>
      <c r="J36" s="105">
        <f t="shared" si="4"/>
        <v>37607.209999999963</v>
      </c>
      <c r="K36" s="105">
        <f t="shared" si="4"/>
        <v>23871.549999999959</v>
      </c>
      <c r="L36" s="105">
        <f t="shared" si="4"/>
        <v>40257.23000000004</v>
      </c>
      <c r="M36" s="105">
        <f t="shared" si="4"/>
        <v>29781.429999999993</v>
      </c>
      <c r="N36" s="105">
        <f t="shared" si="4"/>
        <v>96695</v>
      </c>
      <c r="O36" s="106">
        <f>SUM(C36:N36)</f>
        <v>182733.35999999993</v>
      </c>
    </row>
    <row r="37" spans="2:15" x14ac:dyDescent="0.25">
      <c r="B37" s="10"/>
      <c r="C37" s="95"/>
      <c r="D37" s="95"/>
      <c r="E37" s="95"/>
      <c r="F37" s="95"/>
      <c r="G37" s="95"/>
      <c r="H37" s="95"/>
      <c r="I37" s="95"/>
      <c r="J37" s="95"/>
      <c r="K37" s="95"/>
      <c r="L37" s="95"/>
      <c r="M37" s="95"/>
      <c r="N37" s="95"/>
      <c r="O37" s="96"/>
    </row>
    <row r="38" spans="2:15" x14ac:dyDescent="0.25">
      <c r="B38" s="110" t="s">
        <v>25</v>
      </c>
      <c r="C38" s="105">
        <f>'(HIDE) Data Validation'!D19</f>
        <v>100000</v>
      </c>
      <c r="D38" s="105">
        <f>C40</f>
        <v>-7529.7799999999843</v>
      </c>
      <c r="E38" s="105">
        <f t="shared" ref="E38:N38" si="5">D40</f>
        <v>-25864.289999999994</v>
      </c>
      <c r="F38" s="105">
        <f t="shared" si="5"/>
        <v>-17259.89</v>
      </c>
      <c r="G38" s="105">
        <f t="shared" si="5"/>
        <v>-10821.729999999996</v>
      </c>
      <c r="H38" s="105">
        <f t="shared" si="5"/>
        <v>6109.0200000000041</v>
      </c>
      <c r="I38" s="105">
        <f t="shared" si="5"/>
        <v>12469.469999999987</v>
      </c>
      <c r="J38" s="105">
        <f t="shared" si="5"/>
        <v>54520.939999999988</v>
      </c>
      <c r="K38" s="105">
        <f t="shared" si="5"/>
        <v>92128.149999999951</v>
      </c>
      <c r="L38" s="105">
        <f t="shared" si="5"/>
        <v>115999.69999999991</v>
      </c>
      <c r="M38" s="105">
        <f t="shared" si="5"/>
        <v>156256.92999999993</v>
      </c>
      <c r="N38" s="105">
        <f t="shared" si="5"/>
        <v>186038.35999999993</v>
      </c>
      <c r="O38" s="106">
        <f>C38</f>
        <v>100000</v>
      </c>
    </row>
    <row r="39" spans="2:15" x14ac:dyDescent="0.25">
      <c r="B39" s="10"/>
      <c r="C39" s="95"/>
      <c r="D39" s="95"/>
      <c r="E39" s="95"/>
      <c r="F39" s="95"/>
      <c r="G39" s="95"/>
      <c r="H39" s="95"/>
      <c r="I39" s="95"/>
      <c r="J39" s="95"/>
      <c r="K39" s="95"/>
      <c r="L39" s="95"/>
      <c r="M39" s="95"/>
      <c r="N39" s="95"/>
      <c r="O39" s="96"/>
    </row>
    <row r="40" spans="2:15" x14ac:dyDescent="0.25">
      <c r="B40" s="117" t="s">
        <v>26</v>
      </c>
      <c r="C40" s="118">
        <f>C38+C36</f>
        <v>-7529.7799999999843</v>
      </c>
      <c r="D40" s="118">
        <f t="shared" ref="D40:N40" si="6">D38+D36</f>
        <v>-25864.289999999994</v>
      </c>
      <c r="E40" s="118">
        <f t="shared" si="6"/>
        <v>-17259.89</v>
      </c>
      <c r="F40" s="118">
        <f t="shared" si="6"/>
        <v>-10821.729999999996</v>
      </c>
      <c r="G40" s="118">
        <f t="shared" si="6"/>
        <v>6109.0200000000041</v>
      </c>
      <c r="H40" s="118">
        <f t="shared" si="6"/>
        <v>12469.469999999987</v>
      </c>
      <c r="I40" s="118">
        <f t="shared" si="6"/>
        <v>54520.939999999988</v>
      </c>
      <c r="J40" s="118">
        <f t="shared" si="6"/>
        <v>92128.149999999951</v>
      </c>
      <c r="K40" s="118">
        <f t="shared" si="6"/>
        <v>115999.69999999991</v>
      </c>
      <c r="L40" s="118">
        <f t="shared" si="6"/>
        <v>156256.92999999993</v>
      </c>
      <c r="M40" s="118">
        <f t="shared" si="6"/>
        <v>186038.35999999993</v>
      </c>
      <c r="N40" s="118">
        <f t="shared" si="6"/>
        <v>282733.35999999993</v>
      </c>
      <c r="O40" s="119">
        <f>N40</f>
        <v>282733.35999999993</v>
      </c>
    </row>
    <row r="42" spans="2:15" ht="26.25" x14ac:dyDescent="0.4">
      <c r="C42" s="16"/>
      <c r="D42" s="18" t="str">
        <f>IF('(HIDE) Data Validation'!B26=0,"","YOU HAVE NOT YET RAISED ENOUGH CAPITAL. YOU STILL NEED $"&amp;TEXT('(HIDE) Data Validation'!B26,"#,##0;;@"))</f>
        <v>YOU HAVE NOT YET RAISED ENOUGH CAPITAL. YOU STILL NEED $275,865</v>
      </c>
    </row>
    <row r="44" spans="2:15" ht="26.25" x14ac:dyDescent="0.4">
      <c r="C44" s="18" t="str">
        <f>IF(O13&gt;0,"NOTE: EMERGENCY LOANS: When the closing balance for a month is negative, an emergency loan is taken out in the following month to cover for it","")</f>
        <v>NOTE: EMERGENCY LOANS: When the closing balance for a month is negative, an emergency loan is taken out in the following month to cover for it</v>
      </c>
    </row>
  </sheetData>
  <sheetProtection algorithmName="SHA-512" hashValue="w+h+TyV5bYvQkLeAOX6Jmfy9lvAwiSItBMzxaY9KApxHJ3Q3gU5VuhuDBbWA4HOVlYeVlX4tQjSd7ltOhETzbQ==" saltValue="HnPw4S3ofqRBBC+LhW4Grg==" spinCount="100000" sheet="1" objects="1" scenarios="1" formatColumns="0" formatRows="0" selectLockedCells="1"/>
  <mergeCells count="3">
    <mergeCell ref="B1:O1"/>
    <mergeCell ref="B2:O2"/>
    <mergeCell ref="B3:O3"/>
  </mergeCells>
  <pageMargins left="0.7" right="0.7" top="0.75" bottom="0.75" header="0.3" footer="0.3"/>
  <pageSetup paperSize="9" orientation="portrait" horizontalDpi="0" verticalDpi="0" r:id="rId1"/>
  <cellWatches>
    <cellWatch r="A1"/>
  </cellWatches>
  <ignoredErrors>
    <ignoredError sqref="O20"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2:O38"/>
  <sheetViews>
    <sheetView zoomScale="80" zoomScaleNormal="80" workbookViewId="0">
      <selection activeCell="G38" sqref="G38"/>
    </sheetView>
  </sheetViews>
  <sheetFormatPr defaultColWidth="8.85546875" defaultRowHeight="15" x14ac:dyDescent="0.25"/>
  <cols>
    <col min="1" max="1" width="3.7109375" style="1" customWidth="1"/>
    <col min="2" max="2" width="35.28515625" style="1" customWidth="1"/>
    <col min="3" max="15" width="15.5703125" style="1" customWidth="1"/>
    <col min="16" max="16384" width="8.85546875" style="1"/>
  </cols>
  <sheetData>
    <row r="2" spans="2:15" ht="15.75" x14ac:dyDescent="0.25">
      <c r="B2" s="390" t="str">
        <f>IF('Business Setup'!F3="","UNNAMED",'Business Setup'!F3)</f>
        <v>UNNAMED</v>
      </c>
      <c r="C2" s="391"/>
      <c r="D2" s="391"/>
      <c r="E2" s="391"/>
      <c r="F2" s="391"/>
      <c r="G2" s="391"/>
      <c r="H2" s="391"/>
      <c r="I2" s="391"/>
      <c r="J2" s="391"/>
      <c r="K2" s="391"/>
      <c r="L2" s="391"/>
      <c r="M2" s="391"/>
      <c r="N2" s="391"/>
      <c r="O2" s="392"/>
    </row>
    <row r="3" spans="2:15" ht="15.75" x14ac:dyDescent="0.25">
      <c r="B3" s="397" t="s">
        <v>230</v>
      </c>
      <c r="C3" s="398"/>
      <c r="D3" s="398"/>
      <c r="E3" s="398"/>
      <c r="F3" s="398"/>
      <c r="G3" s="398"/>
      <c r="H3" s="398"/>
      <c r="I3" s="398"/>
      <c r="J3" s="398"/>
      <c r="K3" s="398"/>
      <c r="L3" s="398"/>
      <c r="M3" s="398"/>
      <c r="N3" s="398"/>
      <c r="O3" s="399"/>
    </row>
    <row r="4" spans="2:15" ht="15.75" x14ac:dyDescent="0.25">
      <c r="B4" s="397" t="s">
        <v>521</v>
      </c>
      <c r="C4" s="398"/>
      <c r="D4" s="398"/>
      <c r="E4" s="398"/>
      <c r="F4" s="398"/>
      <c r="G4" s="398"/>
      <c r="H4" s="398"/>
      <c r="I4" s="398"/>
      <c r="J4" s="398"/>
      <c r="K4" s="398"/>
      <c r="L4" s="398"/>
      <c r="M4" s="398"/>
      <c r="N4" s="398"/>
      <c r="O4" s="399"/>
    </row>
    <row r="5" spans="2:15" x14ac:dyDescent="0.25">
      <c r="B5" s="121"/>
      <c r="C5" s="25" t="s">
        <v>103</v>
      </c>
      <c r="D5" s="25" t="s">
        <v>104</v>
      </c>
      <c r="E5" s="25" t="s">
        <v>105</v>
      </c>
      <c r="F5" s="25" t="s">
        <v>107</v>
      </c>
      <c r="G5" s="25" t="s">
        <v>5</v>
      </c>
      <c r="H5" s="25" t="s">
        <v>108</v>
      </c>
      <c r="I5" s="25" t="s">
        <v>109</v>
      </c>
      <c r="J5" s="25" t="s">
        <v>110</v>
      </c>
      <c r="K5" s="25" t="s">
        <v>111</v>
      </c>
      <c r="L5" s="25" t="s">
        <v>112</v>
      </c>
      <c r="M5" s="25" t="s">
        <v>113</v>
      </c>
      <c r="N5" s="25" t="s">
        <v>114</v>
      </c>
      <c r="O5" s="25" t="s">
        <v>216</v>
      </c>
    </row>
    <row r="6" spans="2:15" x14ac:dyDescent="0.25">
      <c r="B6" s="124"/>
      <c r="C6" s="125" t="s">
        <v>38</v>
      </c>
      <c r="D6" s="125" t="s">
        <v>38</v>
      </c>
      <c r="E6" s="125" t="s">
        <v>38</v>
      </c>
      <c r="F6" s="125" t="s">
        <v>38</v>
      </c>
      <c r="G6" s="125" t="s">
        <v>38</v>
      </c>
      <c r="H6" s="125" t="s">
        <v>38</v>
      </c>
      <c r="I6" s="125" t="s">
        <v>38</v>
      </c>
      <c r="J6" s="125" t="s">
        <v>38</v>
      </c>
      <c r="K6" s="125" t="s">
        <v>38</v>
      </c>
      <c r="L6" s="125" t="s">
        <v>38</v>
      </c>
      <c r="M6" s="125" t="s">
        <v>38</v>
      </c>
      <c r="N6" s="125" t="s">
        <v>38</v>
      </c>
      <c r="O6" s="125" t="s">
        <v>38</v>
      </c>
    </row>
    <row r="7" spans="2:15" x14ac:dyDescent="0.25">
      <c r="B7" s="120" t="s">
        <v>214</v>
      </c>
      <c r="C7" s="95">
        <v>0</v>
      </c>
      <c r="D7" s="95">
        <f t="shared" ref="D7:N7" si="0">C10</f>
        <v>10749</v>
      </c>
      <c r="E7" s="95">
        <f t="shared" si="0"/>
        <v>11992</v>
      </c>
      <c r="F7" s="95">
        <f t="shared" si="0"/>
        <v>17968</v>
      </c>
      <c r="G7" s="95">
        <f t="shared" si="0"/>
        <v>21399</v>
      </c>
      <c r="H7" s="95">
        <f t="shared" si="0"/>
        <v>17867</v>
      </c>
      <c r="I7" s="95">
        <f t="shared" si="0"/>
        <v>23916</v>
      </c>
      <c r="J7" s="95">
        <f t="shared" si="0"/>
        <v>28188.400000000001</v>
      </c>
      <c r="K7" s="95">
        <f t="shared" si="0"/>
        <v>24715.8</v>
      </c>
      <c r="L7" s="95">
        <f t="shared" si="0"/>
        <v>31884.6</v>
      </c>
      <c r="M7" s="95">
        <f t="shared" si="0"/>
        <v>35955.5</v>
      </c>
      <c r="N7" s="95">
        <f t="shared" si="0"/>
        <v>46671.1</v>
      </c>
      <c r="O7" s="96">
        <f>C7</f>
        <v>0</v>
      </c>
    </row>
    <row r="8" spans="2:15" x14ac:dyDescent="0.25">
      <c r="B8" s="126" t="s">
        <v>212</v>
      </c>
      <c r="C8" s="105">
        <f>'2019 Full Cash Budget'!C19</f>
        <v>35141</v>
      </c>
      <c r="D8" s="105">
        <f>'2019 Full Cash Budget'!D19</f>
        <v>44239</v>
      </c>
      <c r="E8" s="105">
        <f>'2019 Full Cash Budget'!E19</f>
        <v>53944</v>
      </c>
      <c r="F8" s="105">
        <f>'2019 Full Cash Budget'!F19</f>
        <v>75303</v>
      </c>
      <c r="G8" s="105">
        <f>'2019 Full Cash Budget'!G19</f>
        <v>82064</v>
      </c>
      <c r="H8" s="105">
        <f>'2019 Full Cash Budget'!H19</f>
        <v>77517</v>
      </c>
      <c r="I8" s="105">
        <f>'2019 Full Cash Budget'!I19+'(HIDE) Data Validation'!T40</f>
        <v>116922.6</v>
      </c>
      <c r="J8" s="105">
        <f>'2019 Full Cash Budget'!J19+'(HIDE) Data Validation'!U40</f>
        <v>109281</v>
      </c>
      <c r="K8" s="105">
        <f>'2019 Full Cash Budget'!K19+'(HIDE) Data Validation'!V40</f>
        <v>106032</v>
      </c>
      <c r="L8" s="105">
        <f>'2019 Full Cash Budget'!L19+'(HIDE) Data Validation'!W40</f>
        <v>131609.29999999999</v>
      </c>
      <c r="M8" s="105">
        <f>'2019 Full Cash Budget'!M19+'(HIDE) Data Validation'!X40</f>
        <v>154537.60000000001</v>
      </c>
      <c r="N8" s="105">
        <f>'2019 Full Cash Budget'!N19+'(HIDE) Data Validation'!Y40</f>
        <v>170442.45</v>
      </c>
      <c r="O8" s="106">
        <f>SUM(C8:N8)</f>
        <v>1157032.95</v>
      </c>
    </row>
    <row r="9" spans="2:15" x14ac:dyDescent="0.25">
      <c r="B9" s="120" t="s">
        <v>215</v>
      </c>
      <c r="C9" s="95">
        <f>'(HIDE) Data Validation'!N18</f>
        <v>24392</v>
      </c>
      <c r="D9" s="95">
        <f>'(HIDE) Data Validation'!O18</f>
        <v>42996</v>
      </c>
      <c r="E9" s="95">
        <f>'(HIDE) Data Validation'!P18</f>
        <v>47968</v>
      </c>
      <c r="F9" s="95">
        <f>'(HIDE) Data Validation'!Q18</f>
        <v>71872</v>
      </c>
      <c r="G9" s="95">
        <f>'(HIDE) Data Validation'!R18</f>
        <v>85596</v>
      </c>
      <c r="H9" s="95">
        <f>'(HIDE) Data Validation'!S18</f>
        <v>71468</v>
      </c>
      <c r="I9" s="95">
        <f>'(HIDE) Data Validation'!T18+'(HIDE) Data Validation'!T30</f>
        <v>112650.2</v>
      </c>
      <c r="J9" s="95">
        <f>'(HIDE) Data Validation'!U18+'(HIDE) Data Validation'!U30</f>
        <v>112753.60000000001</v>
      </c>
      <c r="K9" s="95">
        <f>'(HIDE) Data Validation'!V18+'(HIDE) Data Validation'!V30</f>
        <v>98863.2</v>
      </c>
      <c r="L9" s="95">
        <f>'(HIDE) Data Validation'!W18+'(HIDE) Data Validation'!W30</f>
        <v>127538.4</v>
      </c>
      <c r="M9" s="95">
        <f>'(HIDE) Data Validation'!X18+'(HIDE) Data Validation'!X30</f>
        <v>143822</v>
      </c>
      <c r="N9" s="95">
        <f>'(HIDE) Data Validation'!Y18+'(HIDE) Data Validation'!Y30</f>
        <v>186684.4</v>
      </c>
      <c r="O9" s="96">
        <f>SUM(C9:N9)</f>
        <v>1126603.8</v>
      </c>
    </row>
    <row r="10" spans="2:15" x14ac:dyDescent="0.25">
      <c r="B10" s="126" t="s">
        <v>217</v>
      </c>
      <c r="C10" s="105">
        <f>ROUND(C7+C8-C9,2)</f>
        <v>10749</v>
      </c>
      <c r="D10" s="105">
        <f t="shared" ref="D10:N10" si="1">ROUND(D7+D8-D9,2)</f>
        <v>11992</v>
      </c>
      <c r="E10" s="105">
        <f t="shared" si="1"/>
        <v>17968</v>
      </c>
      <c r="F10" s="105">
        <f t="shared" si="1"/>
        <v>21399</v>
      </c>
      <c r="G10" s="105">
        <f t="shared" si="1"/>
        <v>17867</v>
      </c>
      <c r="H10" s="105">
        <f t="shared" si="1"/>
        <v>23916</v>
      </c>
      <c r="I10" s="105">
        <f t="shared" si="1"/>
        <v>28188.400000000001</v>
      </c>
      <c r="J10" s="105">
        <f t="shared" si="1"/>
        <v>24715.8</v>
      </c>
      <c r="K10" s="105">
        <f t="shared" si="1"/>
        <v>31884.6</v>
      </c>
      <c r="L10" s="105">
        <f t="shared" si="1"/>
        <v>35955.5</v>
      </c>
      <c r="M10" s="105">
        <f t="shared" si="1"/>
        <v>46671.1</v>
      </c>
      <c r="N10" s="105">
        <f t="shared" si="1"/>
        <v>30429.15</v>
      </c>
      <c r="O10" s="106">
        <f>N10</f>
        <v>30429.15</v>
      </c>
    </row>
    <row r="11" spans="2:15" x14ac:dyDescent="0.25">
      <c r="B11" s="100"/>
      <c r="C11" s="100"/>
      <c r="D11" s="100"/>
      <c r="E11" s="100"/>
      <c r="F11" s="100"/>
      <c r="G11" s="100"/>
      <c r="H11" s="100"/>
      <c r="I11" s="100"/>
      <c r="J11" s="100"/>
      <c r="K11" s="100"/>
      <c r="L11" s="100"/>
      <c r="M11" s="100"/>
      <c r="N11" s="100"/>
      <c r="O11" s="100"/>
    </row>
    <row r="12" spans="2:15" ht="18.75" x14ac:dyDescent="0.3">
      <c r="L12" s="393" t="s">
        <v>694</v>
      </c>
      <c r="M12" s="393"/>
      <c r="N12" s="393"/>
      <c r="O12" s="130">
        <f>ROUND(AVERAGE(C10:N10),2)</f>
        <v>25144.63</v>
      </c>
    </row>
    <row r="15" spans="2:15" ht="15.75" x14ac:dyDescent="0.25">
      <c r="B15" s="390" t="str">
        <f>IF('Business Setup'!F3="","UNNAMED",'Business Setup'!F3)</f>
        <v>UNNAMED</v>
      </c>
      <c r="C15" s="391"/>
      <c r="D15" s="391"/>
      <c r="E15" s="391"/>
      <c r="F15" s="391"/>
      <c r="G15" s="391"/>
      <c r="H15" s="391"/>
      <c r="I15" s="391"/>
      <c r="J15" s="391"/>
      <c r="K15" s="391"/>
      <c r="L15" s="391"/>
      <c r="M15" s="391"/>
      <c r="N15" s="391"/>
      <c r="O15" s="392"/>
    </row>
    <row r="16" spans="2:15" ht="15.75" x14ac:dyDescent="0.25">
      <c r="B16" s="397" t="str">
        <f>'(HIDE) Data Validation'!A7&amp;" Monthly Inventory Report"</f>
        <v>Burgers Monthly Inventory Report</v>
      </c>
      <c r="C16" s="398"/>
      <c r="D16" s="398"/>
      <c r="E16" s="398"/>
      <c r="F16" s="398"/>
      <c r="G16" s="398"/>
      <c r="H16" s="398"/>
      <c r="I16" s="398"/>
      <c r="J16" s="398"/>
      <c r="K16" s="398"/>
      <c r="L16" s="398"/>
      <c r="M16" s="398"/>
      <c r="N16" s="398"/>
      <c r="O16" s="399"/>
    </row>
    <row r="17" spans="2:15" ht="15.75" x14ac:dyDescent="0.25">
      <c r="B17" s="397" t="s">
        <v>521</v>
      </c>
      <c r="C17" s="398"/>
      <c r="D17" s="398"/>
      <c r="E17" s="398"/>
      <c r="F17" s="398"/>
      <c r="G17" s="398"/>
      <c r="H17" s="398"/>
      <c r="I17" s="398"/>
      <c r="J17" s="398"/>
      <c r="K17" s="398"/>
      <c r="L17" s="398"/>
      <c r="M17" s="398"/>
      <c r="N17" s="398"/>
      <c r="O17" s="399"/>
    </row>
    <row r="18" spans="2:15" x14ac:dyDescent="0.25">
      <c r="B18" s="121"/>
      <c r="C18" s="25" t="s">
        <v>103</v>
      </c>
      <c r="D18" s="25" t="s">
        <v>104</v>
      </c>
      <c r="E18" s="25" t="s">
        <v>105</v>
      </c>
      <c r="F18" s="25" t="s">
        <v>107</v>
      </c>
      <c r="G18" s="25" t="s">
        <v>5</v>
      </c>
      <c r="H18" s="25" t="s">
        <v>108</v>
      </c>
      <c r="I18" s="25" t="s">
        <v>109</v>
      </c>
      <c r="J18" s="25" t="s">
        <v>110</v>
      </c>
      <c r="K18" s="25" t="s">
        <v>111</v>
      </c>
      <c r="L18" s="25" t="s">
        <v>112</v>
      </c>
      <c r="M18" s="25" t="s">
        <v>113</v>
      </c>
      <c r="N18" s="25" t="s">
        <v>114</v>
      </c>
      <c r="O18" s="25" t="s">
        <v>216</v>
      </c>
    </row>
    <row r="19" spans="2:15" x14ac:dyDescent="0.25">
      <c r="B19" s="124"/>
      <c r="C19" s="125" t="s">
        <v>38</v>
      </c>
      <c r="D19" s="125" t="s">
        <v>38</v>
      </c>
      <c r="E19" s="125" t="s">
        <v>38</v>
      </c>
      <c r="F19" s="125" t="s">
        <v>38</v>
      </c>
      <c r="G19" s="125" t="s">
        <v>38</v>
      </c>
      <c r="H19" s="125" t="s">
        <v>38</v>
      </c>
      <c r="I19" s="125" t="s">
        <v>38</v>
      </c>
      <c r="J19" s="125" t="s">
        <v>38</v>
      </c>
      <c r="K19" s="125" t="s">
        <v>38</v>
      </c>
      <c r="L19" s="125" t="s">
        <v>38</v>
      </c>
      <c r="M19" s="125" t="s">
        <v>38</v>
      </c>
      <c r="N19" s="125" t="s">
        <v>38</v>
      </c>
      <c r="O19" s="125" t="s">
        <v>38</v>
      </c>
    </row>
    <row r="20" spans="2:15" x14ac:dyDescent="0.25">
      <c r="B20" s="120" t="s">
        <v>214</v>
      </c>
      <c r="C20" s="95">
        <v>0</v>
      </c>
      <c r="D20" s="95">
        <f>C23</f>
        <v>10749</v>
      </c>
      <c r="E20" s="95">
        <f t="shared" ref="E20:N20" si="2">D23</f>
        <v>11992</v>
      </c>
      <c r="F20" s="95">
        <f t="shared" si="2"/>
        <v>17968</v>
      </c>
      <c r="G20" s="95">
        <f t="shared" si="2"/>
        <v>21399</v>
      </c>
      <c r="H20" s="95">
        <f t="shared" si="2"/>
        <v>17867</v>
      </c>
      <c r="I20" s="95">
        <f t="shared" si="2"/>
        <v>23916</v>
      </c>
      <c r="J20" s="95">
        <f t="shared" si="2"/>
        <v>23938</v>
      </c>
      <c r="K20" s="95">
        <f t="shared" si="2"/>
        <v>20989</v>
      </c>
      <c r="L20" s="95">
        <f t="shared" si="2"/>
        <v>27077</v>
      </c>
      <c r="M20" s="95">
        <f t="shared" si="2"/>
        <v>30534</v>
      </c>
      <c r="N20" s="95">
        <f t="shared" si="2"/>
        <v>39634</v>
      </c>
      <c r="O20" s="96">
        <f>C20</f>
        <v>0</v>
      </c>
    </row>
    <row r="21" spans="2:15" x14ac:dyDescent="0.25">
      <c r="B21" s="126" t="s">
        <v>212</v>
      </c>
      <c r="C21" s="105">
        <f>'2019 Full Cash Budget'!C19</f>
        <v>35141</v>
      </c>
      <c r="D21" s="105">
        <f>'2019 Full Cash Budget'!D19</f>
        <v>44239</v>
      </c>
      <c r="E21" s="105">
        <f>'2019 Full Cash Budget'!E19</f>
        <v>53944</v>
      </c>
      <c r="F21" s="105">
        <f>'2019 Full Cash Budget'!F19</f>
        <v>75303</v>
      </c>
      <c r="G21" s="105">
        <f>'2019 Full Cash Budget'!G19</f>
        <v>82064</v>
      </c>
      <c r="H21" s="105">
        <f>'2019 Full Cash Budget'!H19</f>
        <v>77517</v>
      </c>
      <c r="I21" s="105">
        <f>'2019 Full Cash Budget'!I19</f>
        <v>95686</v>
      </c>
      <c r="J21" s="105">
        <f>'2019 Full Cash Budget'!J19</f>
        <v>92803</v>
      </c>
      <c r="K21" s="105">
        <f>'2019 Full Cash Budget'!K19</f>
        <v>90044</v>
      </c>
      <c r="L21" s="105">
        <f>'2019 Full Cash Budget'!L19</f>
        <v>111765</v>
      </c>
      <c r="M21" s="105">
        <f>'2019 Full Cash Budget'!M19</f>
        <v>131236</v>
      </c>
      <c r="N21" s="105">
        <f>'2019 Full Cash Budget'!N19</f>
        <v>144743</v>
      </c>
      <c r="O21" s="106">
        <f>SUM(C21:N21)</f>
        <v>1034485</v>
      </c>
    </row>
    <row r="22" spans="2:15" x14ac:dyDescent="0.25">
      <c r="B22" s="120" t="s">
        <v>215</v>
      </c>
      <c r="C22" s="95">
        <f>'(HIDE) Data Validation'!N18</f>
        <v>24392</v>
      </c>
      <c r="D22" s="95">
        <f>'(HIDE) Data Validation'!O18</f>
        <v>42996</v>
      </c>
      <c r="E22" s="95">
        <f>'(HIDE) Data Validation'!P18</f>
        <v>47968</v>
      </c>
      <c r="F22" s="95">
        <f>'(HIDE) Data Validation'!Q18</f>
        <v>71872</v>
      </c>
      <c r="G22" s="95">
        <f>'(HIDE) Data Validation'!R18</f>
        <v>85596</v>
      </c>
      <c r="H22" s="95">
        <f>'(HIDE) Data Validation'!S18</f>
        <v>71468</v>
      </c>
      <c r="I22" s="95">
        <f>'(HIDE) Data Validation'!T18</f>
        <v>95664</v>
      </c>
      <c r="J22" s="95">
        <f>'(HIDE) Data Validation'!U18</f>
        <v>95752</v>
      </c>
      <c r="K22" s="95">
        <f>'(HIDE) Data Validation'!V18</f>
        <v>83956</v>
      </c>
      <c r="L22" s="95">
        <f>'(HIDE) Data Validation'!W18</f>
        <v>108308</v>
      </c>
      <c r="M22" s="95">
        <f>'(HIDE) Data Validation'!X18</f>
        <v>122136</v>
      </c>
      <c r="N22" s="95">
        <f>'(HIDE) Data Validation'!Y18</f>
        <v>158536</v>
      </c>
      <c r="O22" s="96">
        <f>SUM(C22:N22)</f>
        <v>1008644</v>
      </c>
    </row>
    <row r="23" spans="2:15" x14ac:dyDescent="0.25">
      <c r="B23" s="126" t="s">
        <v>217</v>
      </c>
      <c r="C23" s="105">
        <f>C20+C21-C22</f>
        <v>10749</v>
      </c>
      <c r="D23" s="105">
        <f t="shared" ref="D23:N23" si="3">D20+D21-D22</f>
        <v>11992</v>
      </c>
      <c r="E23" s="105">
        <f t="shared" si="3"/>
        <v>17968</v>
      </c>
      <c r="F23" s="105">
        <f t="shared" si="3"/>
        <v>21399</v>
      </c>
      <c r="G23" s="105">
        <f t="shared" si="3"/>
        <v>17867</v>
      </c>
      <c r="H23" s="105">
        <f t="shared" si="3"/>
        <v>23916</v>
      </c>
      <c r="I23" s="105">
        <f t="shared" si="3"/>
        <v>23938</v>
      </c>
      <c r="J23" s="105">
        <f t="shared" si="3"/>
        <v>20989</v>
      </c>
      <c r="K23" s="105">
        <f t="shared" si="3"/>
        <v>27077</v>
      </c>
      <c r="L23" s="105">
        <f t="shared" si="3"/>
        <v>30534</v>
      </c>
      <c r="M23" s="105">
        <f t="shared" si="3"/>
        <v>39634</v>
      </c>
      <c r="N23" s="105">
        <f t="shared" si="3"/>
        <v>25841</v>
      </c>
      <c r="O23" s="106">
        <f>N23</f>
        <v>25841</v>
      </c>
    </row>
    <row r="24" spans="2:15" x14ac:dyDescent="0.25">
      <c r="B24" s="100"/>
      <c r="C24" s="100"/>
      <c r="D24" s="100"/>
      <c r="E24" s="100"/>
      <c r="F24" s="100"/>
      <c r="G24" s="100"/>
      <c r="H24" s="100"/>
      <c r="I24" s="100"/>
      <c r="J24" s="100"/>
      <c r="K24" s="100"/>
      <c r="L24" s="100"/>
      <c r="M24" s="100"/>
      <c r="N24" s="100"/>
      <c r="O24" s="100"/>
    </row>
    <row r="25" spans="2:15" ht="18.75" x14ac:dyDescent="0.3">
      <c r="L25" s="393" t="str">
        <f>"Average "&amp;'(HIDE) Data Validation'!A7&amp;" Inventory Balance"</f>
        <v>Average Burgers Inventory Balance</v>
      </c>
      <c r="M25" s="393"/>
      <c r="N25" s="393"/>
      <c r="O25" s="130">
        <f>ROUND(AVERAGE(C23:N23),2)</f>
        <v>22658.67</v>
      </c>
    </row>
    <row r="26" spans="2:15" ht="15.75" x14ac:dyDescent="0.25">
      <c r="B26" s="390" t="str">
        <f>IF('Business Setup'!F3="","UNNAMED",'Business Setup'!F3)</f>
        <v>UNNAMED</v>
      </c>
      <c r="C26" s="391"/>
      <c r="D26" s="391"/>
      <c r="E26" s="391"/>
      <c r="F26" s="391"/>
      <c r="G26" s="391"/>
      <c r="H26" s="391"/>
      <c r="I26" s="392"/>
    </row>
    <row r="27" spans="2:15" ht="15.75" x14ac:dyDescent="0.25">
      <c r="B27" s="397" t="str">
        <f>'(HIDE) Data Validation'!B42&amp;" Monthly Inventory Report"</f>
        <v>Hot Chips Monthly Inventory Report</v>
      </c>
      <c r="C27" s="398"/>
      <c r="D27" s="398"/>
      <c r="E27" s="398"/>
      <c r="F27" s="398"/>
      <c r="G27" s="398"/>
      <c r="H27" s="398"/>
      <c r="I27" s="399"/>
    </row>
    <row r="28" spans="2:15" ht="15.95" customHeight="1" x14ac:dyDescent="0.25">
      <c r="B28" s="394" t="s">
        <v>521</v>
      </c>
      <c r="C28" s="395"/>
      <c r="D28" s="395"/>
      <c r="E28" s="395"/>
      <c r="F28" s="395"/>
      <c r="G28" s="395"/>
      <c r="H28" s="395"/>
      <c r="I28" s="396"/>
      <c r="K28" s="387" t="str">
        <f>IF('(HIDE) Data Validation'!B26=0,"","YOU HAVE NOT YET RAISED ENOUGH CAPITAL. YOU STILL NEED $"&amp;TEXT('(HIDE) Data Validation'!B26,"#,##0;;@"))</f>
        <v>YOU HAVE NOT YET RAISED ENOUGH CAPITAL. YOU STILL NEED $275,865</v>
      </c>
      <c r="L28" s="387"/>
      <c r="M28" s="387"/>
      <c r="N28" s="387"/>
      <c r="O28" s="387"/>
    </row>
    <row r="29" spans="2:15" ht="14.85" customHeight="1" x14ac:dyDescent="0.25">
      <c r="B29" s="121"/>
      <c r="C29" s="25" t="s">
        <v>109</v>
      </c>
      <c r="D29" s="25" t="s">
        <v>110</v>
      </c>
      <c r="E29" s="25" t="s">
        <v>111</v>
      </c>
      <c r="F29" s="25" t="s">
        <v>112</v>
      </c>
      <c r="G29" s="25" t="s">
        <v>113</v>
      </c>
      <c r="H29" s="25" t="s">
        <v>114</v>
      </c>
      <c r="I29" s="25" t="s">
        <v>216</v>
      </c>
      <c r="K29" s="387"/>
      <c r="L29" s="387"/>
      <c r="M29" s="387"/>
      <c r="N29" s="387"/>
      <c r="O29" s="387"/>
    </row>
    <row r="30" spans="2:15" ht="14.85" customHeight="1" x14ac:dyDescent="0.25">
      <c r="B30" s="124"/>
      <c r="C30" s="125" t="s">
        <v>38</v>
      </c>
      <c r="D30" s="125" t="s">
        <v>38</v>
      </c>
      <c r="E30" s="125" t="s">
        <v>38</v>
      </c>
      <c r="F30" s="125" t="s">
        <v>38</v>
      </c>
      <c r="G30" s="125" t="s">
        <v>38</v>
      </c>
      <c r="H30" s="125" t="s">
        <v>38</v>
      </c>
      <c r="I30" s="125" t="s">
        <v>38</v>
      </c>
      <c r="K30" s="387"/>
      <c r="L30" s="387"/>
      <c r="M30" s="387"/>
      <c r="N30" s="387"/>
      <c r="O30" s="387"/>
    </row>
    <row r="31" spans="2:15" ht="14.85" customHeight="1" x14ac:dyDescent="0.25">
      <c r="B31" s="120" t="s">
        <v>214</v>
      </c>
      <c r="C31" s="95">
        <v>0</v>
      </c>
      <c r="D31" s="95">
        <f>C34</f>
        <v>4250.3999999999978</v>
      </c>
      <c r="E31" s="95">
        <f>D34</f>
        <v>3726.7999999999993</v>
      </c>
      <c r="F31" s="95">
        <f>E34</f>
        <v>4807.6000000000004</v>
      </c>
      <c r="G31" s="95">
        <f>F34</f>
        <v>5421.5000000000036</v>
      </c>
      <c r="H31" s="95">
        <f>G34</f>
        <v>7037.1000000000022</v>
      </c>
      <c r="I31" s="96">
        <f>C31</f>
        <v>0</v>
      </c>
      <c r="K31" s="387"/>
      <c r="L31" s="387"/>
      <c r="M31" s="387"/>
      <c r="N31" s="387"/>
      <c r="O31" s="387"/>
    </row>
    <row r="32" spans="2:15" ht="14.85" customHeight="1" x14ac:dyDescent="0.25">
      <c r="B32" s="126" t="s">
        <v>212</v>
      </c>
      <c r="C32" s="105">
        <f>'(HIDE) Data Validation'!T40</f>
        <v>21236.6</v>
      </c>
      <c r="D32" s="105">
        <f>'(HIDE) Data Validation'!U40</f>
        <v>16478</v>
      </c>
      <c r="E32" s="105">
        <f>'(HIDE) Data Validation'!V40</f>
        <v>15988</v>
      </c>
      <c r="F32" s="105">
        <f>'(HIDE) Data Validation'!W40</f>
        <v>19844.3</v>
      </c>
      <c r="G32" s="105">
        <f>'(HIDE) Data Validation'!X40</f>
        <v>23301.599999999999</v>
      </c>
      <c r="H32" s="105">
        <f>'(HIDE) Data Validation'!Y40</f>
        <v>25699.449999999997</v>
      </c>
      <c r="I32" s="106">
        <f>SUM(C32:H32)</f>
        <v>122547.95</v>
      </c>
      <c r="K32" s="387"/>
      <c r="L32" s="387"/>
      <c r="M32" s="387"/>
      <c r="N32" s="387"/>
      <c r="O32" s="387"/>
    </row>
    <row r="33" spans="2:15" ht="14.85" customHeight="1" x14ac:dyDescent="0.25">
      <c r="B33" s="120" t="s">
        <v>215</v>
      </c>
      <c r="C33" s="95">
        <f>'(HIDE) Data Validation'!T30</f>
        <v>16986.2</v>
      </c>
      <c r="D33" s="95">
        <f>'(HIDE) Data Validation'!U30</f>
        <v>17001.599999999999</v>
      </c>
      <c r="E33" s="95">
        <f>'(HIDE) Data Validation'!V30</f>
        <v>14907.199999999999</v>
      </c>
      <c r="F33" s="95">
        <f>'(HIDE) Data Validation'!W30</f>
        <v>19230.399999999998</v>
      </c>
      <c r="G33" s="95">
        <f>'(HIDE) Data Validation'!X30</f>
        <v>21686</v>
      </c>
      <c r="H33" s="95">
        <f>'(HIDE) Data Validation'!Y30</f>
        <v>28148.399999999998</v>
      </c>
      <c r="I33" s="96">
        <f>SUM(C33:H33)</f>
        <v>117959.79999999999</v>
      </c>
      <c r="K33" s="387"/>
      <c r="L33" s="387"/>
      <c r="M33" s="387"/>
      <c r="N33" s="387"/>
      <c r="O33" s="387"/>
    </row>
    <row r="34" spans="2:15" ht="14.85" customHeight="1" x14ac:dyDescent="0.25">
      <c r="B34" s="126" t="s">
        <v>217</v>
      </c>
      <c r="C34" s="105">
        <f t="shared" ref="C34:H34" si="4">C31+C32-C33</f>
        <v>4250.3999999999978</v>
      </c>
      <c r="D34" s="105">
        <f t="shared" si="4"/>
        <v>3726.7999999999993</v>
      </c>
      <c r="E34" s="105">
        <f t="shared" si="4"/>
        <v>4807.6000000000004</v>
      </c>
      <c r="F34" s="105">
        <f t="shared" si="4"/>
        <v>5421.5000000000036</v>
      </c>
      <c r="G34" s="105">
        <f t="shared" si="4"/>
        <v>7037.1000000000022</v>
      </c>
      <c r="H34" s="105">
        <f t="shared" si="4"/>
        <v>4588.1500000000015</v>
      </c>
      <c r="I34" s="106">
        <f>H34</f>
        <v>4588.1500000000015</v>
      </c>
      <c r="K34" s="387"/>
      <c r="L34" s="387"/>
      <c r="M34" s="387"/>
      <c r="N34" s="387"/>
      <c r="O34" s="387"/>
    </row>
    <row r="35" spans="2:15" x14ac:dyDescent="0.25">
      <c r="B35" s="100"/>
      <c r="C35" s="100"/>
      <c r="D35" s="100"/>
      <c r="E35" s="100"/>
      <c r="F35" s="100"/>
      <c r="G35" s="100"/>
      <c r="H35" s="100"/>
      <c r="I35" s="100"/>
    </row>
    <row r="36" spans="2:15" ht="18.75" x14ac:dyDescent="0.3">
      <c r="F36" s="393" t="str">
        <f>"Average "&amp;'(HIDE) Data Validation'!B42&amp;" Inventory Balance"</f>
        <v>Average Hot Chips Inventory Balance</v>
      </c>
      <c r="G36" s="393"/>
      <c r="H36" s="393"/>
      <c r="I36" s="130">
        <f>ROUND(AVERAGE(C34:H34),2)</f>
        <v>4971.93</v>
      </c>
    </row>
    <row r="38" spans="2:15" x14ac:dyDescent="0.25">
      <c r="G38" s="158"/>
    </row>
  </sheetData>
  <sheetProtection password="DBEB" sheet="1" objects="1" scenarios="1" formatColumns="0" formatRows="0" selectLockedCells="1"/>
  <mergeCells count="13">
    <mergeCell ref="B26:I26"/>
    <mergeCell ref="K28:O34"/>
    <mergeCell ref="F36:H36"/>
    <mergeCell ref="B2:O2"/>
    <mergeCell ref="B28:I28"/>
    <mergeCell ref="B27:I27"/>
    <mergeCell ref="B15:O15"/>
    <mergeCell ref="B16:O16"/>
    <mergeCell ref="B17:O17"/>
    <mergeCell ref="L25:N25"/>
    <mergeCell ref="L12:N12"/>
    <mergeCell ref="B3:O3"/>
    <mergeCell ref="B4:O4"/>
  </mergeCells>
  <pageMargins left="0.7" right="0.7" top="0.75" bottom="0.75"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2:O41"/>
  <sheetViews>
    <sheetView zoomScale="90" zoomScaleNormal="90" workbookViewId="0">
      <selection activeCell="I4" sqref="I4"/>
    </sheetView>
  </sheetViews>
  <sheetFormatPr defaultColWidth="8.85546875" defaultRowHeight="15" x14ac:dyDescent="0.25"/>
  <cols>
    <col min="1" max="1" width="8" style="1" customWidth="1"/>
    <col min="2" max="2" width="37.7109375" style="1" customWidth="1"/>
    <col min="3" max="3" width="7.5703125" style="1" customWidth="1"/>
    <col min="4" max="4" width="15.140625" style="1" customWidth="1"/>
    <col min="5" max="5" width="6.28515625" style="1" customWidth="1"/>
    <col min="6" max="6" width="17.5703125" style="1" customWidth="1"/>
    <col min="7" max="16384" width="8.85546875" style="1"/>
  </cols>
  <sheetData>
    <row r="2" spans="2:15" ht="18.75" x14ac:dyDescent="0.3">
      <c r="B2" s="372" t="str">
        <f>IF('Business Setup'!F3="","UNNAMED",'Business Setup'!F3)</f>
        <v>UNNAMED</v>
      </c>
      <c r="C2" s="373"/>
      <c r="D2" s="373"/>
      <c r="E2" s="373"/>
      <c r="F2" s="374"/>
    </row>
    <row r="3" spans="2:15" ht="18.75" x14ac:dyDescent="0.3">
      <c r="B3" s="388" t="s">
        <v>29</v>
      </c>
      <c r="C3" s="368"/>
      <c r="D3" s="368"/>
      <c r="E3" s="368"/>
      <c r="F3" s="389"/>
    </row>
    <row r="4" spans="2:15" ht="18.75" x14ac:dyDescent="0.3">
      <c r="B4" s="388" t="s">
        <v>521</v>
      </c>
      <c r="C4" s="368"/>
      <c r="D4" s="368"/>
      <c r="E4" s="368"/>
      <c r="F4" s="389"/>
      <c r="I4" s="158"/>
    </row>
    <row r="5" spans="2:15" ht="12.75" customHeight="1" x14ac:dyDescent="0.3">
      <c r="B5" s="33"/>
      <c r="C5" s="34"/>
      <c r="D5" s="34"/>
      <c r="E5" s="34"/>
      <c r="F5" s="35"/>
    </row>
    <row r="6" spans="2:15" x14ac:dyDescent="0.25">
      <c r="B6" s="131"/>
      <c r="C6" s="133"/>
      <c r="D6" s="133" t="s">
        <v>38</v>
      </c>
      <c r="E6" s="133"/>
      <c r="F6" s="142" t="s">
        <v>38</v>
      </c>
    </row>
    <row r="7" spans="2:15" ht="15.75" x14ac:dyDescent="0.25">
      <c r="B7" s="26" t="s">
        <v>30</v>
      </c>
      <c r="C7" s="29"/>
      <c r="F7" s="27"/>
    </row>
    <row r="8" spans="2:15" x14ac:dyDescent="0.25">
      <c r="B8" s="135" t="s">
        <v>315</v>
      </c>
      <c r="C8" s="146"/>
      <c r="D8" s="136">
        <f>SUM('2019 Full Cash Budget'!O9:O12)+'(HIDE) Data Validation'!Z88</f>
        <v>2858637.9999999995</v>
      </c>
      <c r="E8" s="136"/>
      <c r="F8" s="137"/>
    </row>
    <row r="9" spans="2:15" x14ac:dyDescent="0.25">
      <c r="B9" s="28" t="s">
        <v>316</v>
      </c>
      <c r="C9" s="123"/>
      <c r="D9" s="32">
        <f>'2019 Full Cash Budget'!O21</f>
        <v>10601</v>
      </c>
      <c r="E9" s="32"/>
      <c r="F9" s="37"/>
    </row>
    <row r="10" spans="2:15" ht="15.75" x14ac:dyDescent="0.25">
      <c r="B10" s="138" t="s">
        <v>317</v>
      </c>
      <c r="C10" s="147"/>
      <c r="D10" s="136"/>
      <c r="E10" s="136"/>
      <c r="F10" s="139">
        <f>ROUND(D8-D9,2)</f>
        <v>2848037</v>
      </c>
    </row>
    <row r="11" spans="2:15" x14ac:dyDescent="0.25">
      <c r="B11" s="28" t="s">
        <v>208</v>
      </c>
      <c r="C11" s="123"/>
      <c r="D11" s="32">
        <f>'(HIDE) Data Validation'!Z20+'(HIDE) Data Validation'!Z41</f>
        <v>1126603.8</v>
      </c>
      <c r="E11" s="32"/>
      <c r="F11" s="37"/>
    </row>
    <row r="12" spans="2:15" ht="15.75" x14ac:dyDescent="0.25">
      <c r="B12" s="138" t="s">
        <v>31</v>
      </c>
      <c r="C12" s="147"/>
      <c r="D12" s="140"/>
      <c r="E12" s="140"/>
      <c r="F12" s="139">
        <f>ROUND(F10-D11,2)</f>
        <v>1721433.2</v>
      </c>
    </row>
    <row r="13" spans="2:15" ht="15.75" x14ac:dyDescent="0.25">
      <c r="B13" s="26"/>
      <c r="C13" s="29"/>
      <c r="D13" s="101"/>
      <c r="E13" s="101"/>
      <c r="F13" s="39"/>
    </row>
    <row r="14" spans="2:15" ht="15.95" customHeight="1" x14ac:dyDescent="0.25">
      <c r="B14" s="138" t="s">
        <v>32</v>
      </c>
      <c r="C14" s="147"/>
      <c r="D14" s="136"/>
      <c r="E14" s="136"/>
      <c r="F14" s="137"/>
      <c r="H14" s="387" t="str">
        <f>IF('(HIDE) Data Validation'!B26=0,"","YOU HAVE NOT YET RAISED ENOUGH CAPITAL. YOU STILL NEED $"&amp;TEXT('(HIDE) Data Validation'!B26,"#,##0;;@"))</f>
        <v>YOU HAVE NOT YET RAISED ENOUGH CAPITAL. YOU STILL NEED $275,865</v>
      </c>
      <c r="I14" s="387"/>
      <c r="J14" s="387"/>
      <c r="K14" s="387"/>
      <c r="L14" s="387"/>
      <c r="M14" s="387"/>
      <c r="N14" s="387"/>
      <c r="O14" s="387"/>
    </row>
    <row r="15" spans="2:15" ht="14.85" customHeight="1" x14ac:dyDescent="0.25">
      <c r="B15" s="28" t="s">
        <v>167</v>
      </c>
      <c r="C15" s="123"/>
      <c r="D15" s="32">
        <f>'2019 Full Cash Budget'!C18</f>
        <v>120000</v>
      </c>
      <c r="E15" s="32"/>
      <c r="F15" s="37"/>
      <c r="H15" s="387"/>
      <c r="I15" s="387"/>
      <c r="J15" s="387"/>
      <c r="K15" s="387"/>
      <c r="L15" s="387"/>
      <c r="M15" s="387"/>
      <c r="N15" s="387"/>
      <c r="O15" s="387"/>
    </row>
    <row r="16" spans="2:15" ht="14.85" customHeight="1" x14ac:dyDescent="0.25">
      <c r="B16" s="135" t="s">
        <v>17</v>
      </c>
      <c r="C16" s="146"/>
      <c r="D16" s="136">
        <f>'2019 Full Cash Budget'!O22+'(HIDE) Data Validation'!$H$13</f>
        <v>336000</v>
      </c>
      <c r="E16" s="136"/>
      <c r="F16" s="137"/>
      <c r="H16" s="387"/>
      <c r="I16" s="387"/>
      <c r="J16" s="387"/>
      <c r="K16" s="387"/>
      <c r="L16" s="387"/>
      <c r="M16" s="387"/>
      <c r="N16" s="387"/>
      <c r="O16" s="387"/>
    </row>
    <row r="17" spans="2:15" x14ac:dyDescent="0.25">
      <c r="B17" s="28" t="s">
        <v>18</v>
      </c>
      <c r="C17" s="123"/>
      <c r="D17" s="32">
        <f>'2019 Full Cash Budget'!O23+'(HIDE) Data Validation'!Z24</f>
        <v>56400</v>
      </c>
      <c r="E17" s="32"/>
      <c r="F17" s="37"/>
      <c r="H17" s="387"/>
      <c r="I17" s="387"/>
      <c r="J17" s="387"/>
      <c r="K17" s="387"/>
      <c r="L17" s="387"/>
      <c r="M17" s="387"/>
      <c r="N17" s="387"/>
      <c r="O17" s="387"/>
    </row>
    <row r="18" spans="2:15" x14ac:dyDescent="0.25">
      <c r="B18" s="135" t="s">
        <v>19</v>
      </c>
      <c r="C18" s="146"/>
      <c r="D18" s="136">
        <f>'2019 Full Cash Budget'!O24+300</f>
        <v>3600</v>
      </c>
      <c r="E18" s="136"/>
      <c r="F18" s="137"/>
    </row>
    <row r="19" spans="2:15" x14ac:dyDescent="0.25">
      <c r="B19" s="28" t="s">
        <v>28</v>
      </c>
      <c r="C19" s="123"/>
      <c r="D19" s="32">
        <f>'2019 Full Cash Budget'!O25+'(HIDE) Data Validation'!$J$3</f>
        <v>60000</v>
      </c>
      <c r="E19" s="32"/>
      <c r="F19" s="37"/>
    </row>
    <row r="20" spans="2:15" x14ac:dyDescent="0.25">
      <c r="B20" s="135" t="s">
        <v>33</v>
      </c>
      <c r="C20" s="146"/>
      <c r="D20" s="136">
        <f>'2019 Full Cash Budget'!O26+6800</f>
        <v>81600</v>
      </c>
      <c r="E20" s="136"/>
      <c r="F20" s="137"/>
    </row>
    <row r="21" spans="2:15" x14ac:dyDescent="0.25">
      <c r="B21" s="28" t="s">
        <v>34</v>
      </c>
      <c r="C21" s="123"/>
      <c r="D21" s="32">
        <f>'2019 Full Cash Budget'!O27+'(HIDE) Data Validation'!Z17</f>
        <v>762880</v>
      </c>
      <c r="E21" s="32"/>
      <c r="F21" s="37"/>
    </row>
    <row r="22" spans="2:15" x14ac:dyDescent="0.25">
      <c r="B22" s="135" t="s">
        <v>563</v>
      </c>
      <c r="C22" s="146"/>
      <c r="D22" s="136">
        <f>'(HIDE) Data Validation'!Z38</f>
        <v>8450.0066666666662</v>
      </c>
      <c r="E22" s="136"/>
      <c r="F22" s="141"/>
    </row>
    <row r="23" spans="2:15" x14ac:dyDescent="0.25">
      <c r="B23" s="28" t="s">
        <v>564</v>
      </c>
      <c r="C23" s="123"/>
      <c r="D23" s="32">
        <f>'(HIDE) Data Validation'!Z51</f>
        <v>1604.18</v>
      </c>
      <c r="E23" s="32"/>
      <c r="F23" s="103"/>
    </row>
    <row r="24" spans="2:15" x14ac:dyDescent="0.25">
      <c r="B24" s="135" t="s">
        <v>565</v>
      </c>
      <c r="C24" s="146"/>
      <c r="D24" s="136">
        <f>'(HIDE) Data Validation'!I38</f>
        <v>0</v>
      </c>
      <c r="E24" s="136"/>
      <c r="F24" s="141"/>
    </row>
    <row r="25" spans="2:15" x14ac:dyDescent="0.25">
      <c r="B25" s="28" t="s">
        <v>566</v>
      </c>
      <c r="C25" s="123"/>
      <c r="D25" s="32">
        <f>'(HIDE) Data Validation'!Z61</f>
        <v>0</v>
      </c>
      <c r="E25" s="32"/>
      <c r="F25" s="103"/>
    </row>
    <row r="26" spans="2:15" x14ac:dyDescent="0.25">
      <c r="B26" s="135" t="s">
        <v>168</v>
      </c>
      <c r="C26" s="146"/>
      <c r="D26" s="136">
        <f>'2019 Full Cash Budget'!O32</f>
        <v>0</v>
      </c>
      <c r="E26" s="136"/>
      <c r="F26" s="141"/>
    </row>
    <row r="27" spans="2:15" x14ac:dyDescent="0.25">
      <c r="B27" s="28" t="str">
        <f>IF('(HIDE) Data Validation'!K47=2,"",'(HIDE) Data Validation'!K54)</f>
        <v/>
      </c>
      <c r="C27" s="123"/>
      <c r="D27" s="32">
        <f>IF('(HIDE) Data Validation'!K47=2,"",'2019 Full Cash Budget'!O33)</f>
        <v>0</v>
      </c>
      <c r="E27" s="32"/>
      <c r="F27" s="103"/>
    </row>
    <row r="28" spans="2:15" x14ac:dyDescent="0.25">
      <c r="B28" s="135"/>
      <c r="C28" s="146"/>
      <c r="D28" s="136"/>
      <c r="E28" s="136"/>
      <c r="F28" s="141"/>
    </row>
    <row r="29" spans="2:15" x14ac:dyDescent="0.25">
      <c r="B29" s="28"/>
      <c r="C29" s="123"/>
      <c r="D29" s="32"/>
      <c r="E29" s="32"/>
      <c r="F29" s="103"/>
    </row>
    <row r="30" spans="2:15" ht="15.75" x14ac:dyDescent="0.25">
      <c r="B30" s="107" t="s">
        <v>675</v>
      </c>
      <c r="C30" s="148"/>
      <c r="D30" s="140"/>
      <c r="E30" s="140"/>
      <c r="F30" s="139">
        <f>ROUND(SUM(D15:D28),2)</f>
        <v>1430534.19</v>
      </c>
    </row>
    <row r="31" spans="2:15" ht="15.75" x14ac:dyDescent="0.25">
      <c r="B31" s="21"/>
      <c r="C31" s="14"/>
      <c r="D31" s="32"/>
      <c r="E31" s="32"/>
      <c r="F31" s="37"/>
    </row>
    <row r="32" spans="2:15" ht="15.75" x14ac:dyDescent="0.25">
      <c r="B32" s="107" t="s">
        <v>677</v>
      </c>
      <c r="C32" s="149"/>
      <c r="D32" s="136"/>
      <c r="E32" s="136"/>
      <c r="F32" s="139">
        <f>ROUND(F12-F30,2)</f>
        <v>290899.01</v>
      </c>
    </row>
    <row r="33" spans="2:6" ht="15.75" x14ac:dyDescent="0.25">
      <c r="B33" s="21"/>
      <c r="C33" s="14"/>
      <c r="D33" s="32"/>
      <c r="E33" s="32"/>
      <c r="F33" s="37"/>
    </row>
    <row r="34" spans="2:6" x14ac:dyDescent="0.25">
      <c r="B34" s="135" t="s">
        <v>35</v>
      </c>
      <c r="C34" s="146"/>
      <c r="D34" s="136">
        <f>'(HIDE) Data Validation'!Y130</f>
        <v>4592.3599999999997</v>
      </c>
      <c r="E34" s="136"/>
      <c r="F34" s="141"/>
    </row>
    <row r="35" spans="2:6" x14ac:dyDescent="0.25">
      <c r="B35" s="28" t="s">
        <v>678</v>
      </c>
      <c r="C35" s="123"/>
      <c r="D35" s="32">
        <v>0</v>
      </c>
      <c r="E35" s="32"/>
      <c r="F35" s="103"/>
    </row>
    <row r="36" spans="2:6" ht="15.75" x14ac:dyDescent="0.25">
      <c r="B36" s="107" t="s">
        <v>37</v>
      </c>
      <c r="C36" s="148"/>
      <c r="D36" s="140"/>
      <c r="E36" s="140"/>
      <c r="F36" s="139">
        <f>ROUND(F32-D34,2)</f>
        <v>286306.65000000002</v>
      </c>
    </row>
    <row r="37" spans="2:6" x14ac:dyDescent="0.25">
      <c r="B37" s="10"/>
      <c r="D37" s="32"/>
      <c r="E37" s="32"/>
      <c r="F37" s="37"/>
    </row>
    <row r="38" spans="2:6" x14ac:dyDescent="0.25">
      <c r="B38" s="116" t="s">
        <v>170</v>
      </c>
      <c r="C38" s="149"/>
      <c r="D38" s="136"/>
      <c r="E38" s="136"/>
      <c r="F38" s="137">
        <f>ROUND(F36/100*'(HIDE) Data Validation'!B23,2)</f>
        <v>0</v>
      </c>
    </row>
    <row r="39" spans="2:6" x14ac:dyDescent="0.25">
      <c r="B39" s="10" t="s">
        <v>171</v>
      </c>
      <c r="D39" s="32"/>
      <c r="E39" s="32"/>
      <c r="F39" s="37">
        <f>ROUND(F36-F38,2)</f>
        <v>286306.65000000002</v>
      </c>
    </row>
    <row r="40" spans="2:6" x14ac:dyDescent="0.25">
      <c r="B40" s="10"/>
      <c r="F40" s="27"/>
    </row>
    <row r="41" spans="2:6" x14ac:dyDescent="0.25">
      <c r="B41" s="23"/>
      <c r="C41" s="30"/>
      <c r="D41" s="30"/>
      <c r="E41" s="30"/>
      <c r="F41" s="31"/>
    </row>
  </sheetData>
  <sheetProtection algorithmName="SHA-512" hashValue="T/lN7iOvkoaWIupa/90Srto37mlRH86q7xkleN31PFMhU8mO4CUKCpLYa/N/dZMvBf3hsl0q3gsJX0PJtrx3Ag==" saltValue="YDaMxcLsR3cb+aN13iB5Ww==" spinCount="100000" sheet="1" objects="1" scenarios="1" formatColumns="0" formatRows="0" selectLockedCells="1"/>
  <mergeCells count="4">
    <mergeCell ref="B2:F2"/>
    <mergeCell ref="B4:F4"/>
    <mergeCell ref="B3:F3"/>
    <mergeCell ref="H14:O17"/>
  </mergeCells>
  <pageMargins left="0.7" right="0.7" top="0.75" bottom="0.75" header="0.3" footer="0.3"/>
  <pageSetup paperSize="9" orientation="portrait" r:id="rId1"/>
  <cellWatches>
    <cellWatch r="A1"/>
  </cellWatche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B2:T51"/>
  <sheetViews>
    <sheetView zoomScale="80" zoomScaleNormal="80" workbookViewId="0">
      <selection activeCell="G6" sqref="G6"/>
    </sheetView>
  </sheetViews>
  <sheetFormatPr defaultColWidth="8.85546875" defaultRowHeight="15" x14ac:dyDescent="0.25"/>
  <cols>
    <col min="1" max="1" width="8.85546875" style="1"/>
    <col min="2" max="2" width="43.85546875" style="1" customWidth="1"/>
    <col min="3" max="3" width="14.140625" style="1" customWidth="1"/>
    <col min="4" max="4" width="7.85546875" style="1" customWidth="1"/>
    <col min="5" max="5" width="15.28515625" style="1" customWidth="1"/>
    <col min="6" max="6" width="8.85546875" style="1"/>
    <col min="7" max="7" width="11.5703125" style="1" bestFit="1" customWidth="1"/>
    <col min="8" max="8" width="11" style="1" bestFit="1" customWidth="1"/>
    <col min="9" max="16384" width="8.85546875" style="1"/>
  </cols>
  <sheetData>
    <row r="2" spans="2:13" ht="18.75" x14ac:dyDescent="0.3">
      <c r="B2" s="372" t="str">
        <f>IF('Business Setup'!F3="","UNNAMED",'Business Setup'!F3)</f>
        <v>UNNAMED</v>
      </c>
      <c r="C2" s="373"/>
      <c r="D2" s="373"/>
      <c r="E2" s="374"/>
    </row>
    <row r="3" spans="2:13" ht="18.75" x14ac:dyDescent="0.3">
      <c r="B3" s="388" t="s">
        <v>39</v>
      </c>
      <c r="C3" s="368"/>
      <c r="D3" s="368"/>
      <c r="E3" s="389"/>
    </row>
    <row r="4" spans="2:13" ht="18.75" x14ac:dyDescent="0.3">
      <c r="B4" s="388" t="s">
        <v>521</v>
      </c>
      <c r="C4" s="368"/>
      <c r="D4" s="368"/>
      <c r="E4" s="389"/>
    </row>
    <row r="5" spans="2:13" ht="18.75" x14ac:dyDescent="0.3">
      <c r="B5" s="33"/>
      <c r="C5" s="34"/>
      <c r="D5" s="34"/>
      <c r="E5" s="35"/>
    </row>
    <row r="6" spans="2:13" ht="15.75" x14ac:dyDescent="0.25">
      <c r="B6" s="138" t="s">
        <v>40</v>
      </c>
      <c r="C6" s="132" t="s">
        <v>38</v>
      </c>
      <c r="D6" s="132"/>
      <c r="E6" s="134" t="s">
        <v>38</v>
      </c>
      <c r="G6" s="158"/>
    </row>
    <row r="7" spans="2:13" x14ac:dyDescent="0.25">
      <c r="B7" s="70" t="s">
        <v>41</v>
      </c>
      <c r="C7" s="32"/>
      <c r="D7" s="32"/>
      <c r="E7" s="37"/>
    </row>
    <row r="8" spans="2:13" x14ac:dyDescent="0.25">
      <c r="B8" s="135" t="str">
        <f>IF('2019 Full Cash Budget'!O40&gt;0,"Cash","-")</f>
        <v>Cash</v>
      </c>
      <c r="C8" s="136">
        <f>IF('2019 Full Cash Budget'!O40&gt;0,'2019 Full Cash Budget'!O40,0)</f>
        <v>282733.35999999993</v>
      </c>
      <c r="D8" s="136"/>
      <c r="E8" s="137"/>
    </row>
    <row r="9" spans="2:13" x14ac:dyDescent="0.25">
      <c r="B9" s="28" t="s">
        <v>229</v>
      </c>
      <c r="C9" s="32">
        <f>'(HIDE) Data Validation'!Z88</f>
        <v>147480.35999999999</v>
      </c>
      <c r="D9" s="32"/>
      <c r="E9" s="37"/>
    </row>
    <row r="10" spans="2:13" x14ac:dyDescent="0.25">
      <c r="B10" s="135" t="s">
        <v>55</v>
      </c>
      <c r="C10" s="136">
        <f>'2019 Inventory Rpt'!O10</f>
        <v>30429.15</v>
      </c>
      <c r="D10" s="136"/>
      <c r="E10" s="137"/>
      <c r="G10" s="32"/>
    </row>
    <row r="11" spans="2:13" x14ac:dyDescent="0.25">
      <c r="B11" s="70" t="s">
        <v>42</v>
      </c>
      <c r="C11" s="32"/>
      <c r="D11" s="32"/>
      <c r="E11" s="37">
        <f>ROUND(SUM(C8:C10),2)</f>
        <v>460642.87</v>
      </c>
    </row>
    <row r="12" spans="2:13" x14ac:dyDescent="0.25">
      <c r="B12" s="143"/>
      <c r="C12" s="136"/>
      <c r="D12" s="136"/>
      <c r="E12" s="137"/>
    </row>
    <row r="13" spans="2:13" ht="14.85" customHeight="1" x14ac:dyDescent="0.25">
      <c r="B13" s="70" t="s">
        <v>43</v>
      </c>
      <c r="C13" s="32"/>
      <c r="D13" s="32"/>
      <c r="E13" s="37"/>
      <c r="G13" s="387" t="str">
        <f>IF('(HIDE) Data Validation'!B26=0,"","YOU HAVE NOT YET RAISED ENOUGH CAPITAL. YOU STILL NEED $"&amp;TEXT('(HIDE) Data Validation'!B26,"#,##0;;@"))</f>
        <v>YOU HAVE NOT YET RAISED ENOUGH CAPITAL. YOU STILL NEED $275,865</v>
      </c>
      <c r="H13" s="387"/>
      <c r="I13" s="387"/>
      <c r="J13" s="387"/>
      <c r="K13" s="387"/>
      <c r="L13" s="387"/>
      <c r="M13" s="387"/>
    </row>
    <row r="14" spans="2:13" ht="14.85" customHeight="1" x14ac:dyDescent="0.25">
      <c r="B14" s="28" t="s">
        <v>531</v>
      </c>
      <c r="C14" s="32">
        <f>'(HIDE) Data Validation'!Z36</f>
        <v>159000</v>
      </c>
      <c r="D14" s="32"/>
      <c r="E14" s="37"/>
      <c r="G14" s="387"/>
      <c r="H14" s="387"/>
      <c r="I14" s="387"/>
      <c r="J14" s="387"/>
      <c r="K14" s="387"/>
      <c r="L14" s="387"/>
      <c r="M14" s="387"/>
    </row>
    <row r="15" spans="2:13" ht="14.85" customHeight="1" x14ac:dyDescent="0.25">
      <c r="B15" s="135" t="s">
        <v>56</v>
      </c>
      <c r="C15" s="136">
        <f>-'(HIDE) Data Validation'!Z38</f>
        <v>-8450.0066666666662</v>
      </c>
      <c r="D15" s="136"/>
      <c r="E15" s="137"/>
      <c r="G15" s="387"/>
      <c r="H15" s="387"/>
      <c r="I15" s="387"/>
      <c r="J15" s="387"/>
      <c r="K15" s="387"/>
      <c r="L15" s="387"/>
      <c r="M15" s="387"/>
    </row>
    <row r="16" spans="2:13" ht="14.85" customHeight="1" x14ac:dyDescent="0.25">
      <c r="B16" s="28" t="s">
        <v>532</v>
      </c>
      <c r="C16" s="32">
        <f>'(HIDE) Data Validation'!Z50</f>
        <v>30000</v>
      </c>
      <c r="D16" s="32"/>
      <c r="E16" s="37"/>
      <c r="G16" s="387"/>
      <c r="H16" s="387"/>
      <c r="I16" s="387"/>
      <c r="J16" s="387"/>
      <c r="K16" s="387"/>
      <c r="L16" s="387"/>
      <c r="M16" s="387"/>
    </row>
    <row r="17" spans="2:13" ht="14.85" customHeight="1" x14ac:dyDescent="0.25">
      <c r="B17" s="135" t="s">
        <v>56</v>
      </c>
      <c r="C17" s="136">
        <f>-'(HIDE) Data Validation'!Z51</f>
        <v>-1604.18</v>
      </c>
      <c r="D17" s="136"/>
      <c r="E17" s="137"/>
      <c r="G17" s="387"/>
      <c r="H17" s="387"/>
      <c r="I17" s="387"/>
      <c r="J17" s="387"/>
      <c r="K17" s="387"/>
      <c r="L17" s="387"/>
      <c r="M17" s="387"/>
    </row>
    <row r="18" spans="2:13" ht="14.85" customHeight="1" x14ac:dyDescent="0.25">
      <c r="B18" s="28" t="s">
        <v>533</v>
      </c>
      <c r="C18" s="32">
        <f>'(HIDE) Data Validation'!I34</f>
        <v>0</v>
      </c>
      <c r="D18" s="32"/>
      <c r="E18" s="37"/>
      <c r="G18" s="387"/>
      <c r="H18" s="387"/>
      <c r="I18" s="387"/>
      <c r="J18" s="387"/>
      <c r="K18" s="387"/>
      <c r="L18" s="387"/>
      <c r="M18" s="387"/>
    </row>
    <row r="19" spans="2:13" ht="14.85" customHeight="1" x14ac:dyDescent="0.25">
      <c r="B19" s="135" t="s">
        <v>56</v>
      </c>
      <c r="C19" s="136">
        <f>-'(HIDE) Data Validation'!I38</f>
        <v>0</v>
      </c>
      <c r="D19" s="136"/>
      <c r="E19" s="137"/>
      <c r="G19" s="387"/>
      <c r="H19" s="387"/>
      <c r="I19" s="387"/>
      <c r="J19" s="387"/>
      <c r="K19" s="387"/>
      <c r="L19" s="387"/>
      <c r="M19" s="387"/>
    </row>
    <row r="20" spans="2:13" ht="14.85" customHeight="1" x14ac:dyDescent="0.25">
      <c r="B20" s="28" t="str">
        <f>IF('(HIDE) Data Validation'!K47=2,"Vehicles","")</f>
        <v/>
      </c>
      <c r="C20" s="32" t="str">
        <f>IF('(HIDE) Data Validation'!K47=2,'2019 Full Cash Budget'!O33,"")</f>
        <v/>
      </c>
      <c r="D20" s="32"/>
      <c r="E20" s="37"/>
      <c r="G20" s="387"/>
      <c r="H20" s="387"/>
      <c r="I20" s="387"/>
      <c r="J20" s="387"/>
      <c r="K20" s="387"/>
      <c r="L20" s="387"/>
      <c r="M20" s="387"/>
    </row>
    <row r="21" spans="2:13" ht="14.85" customHeight="1" x14ac:dyDescent="0.25">
      <c r="B21" s="135" t="str">
        <f>IF('(HIDE) Data Validation'!K47=2,"Less: Accumulated Depreciation","")</f>
        <v/>
      </c>
      <c r="C21" s="136" t="str">
        <f>IF('(HIDE) Data Validation'!K47=2,-'(HIDE) Data Validation'!Z61,"")</f>
        <v/>
      </c>
      <c r="D21" s="136"/>
      <c r="E21" s="137"/>
      <c r="G21" s="387"/>
      <c r="H21" s="387"/>
      <c r="I21" s="387"/>
      <c r="J21" s="387"/>
      <c r="K21" s="387"/>
      <c r="L21" s="387"/>
      <c r="M21" s="387"/>
    </row>
    <row r="22" spans="2:13" ht="14.85" customHeight="1" x14ac:dyDescent="0.25">
      <c r="B22" s="70" t="s">
        <v>44</v>
      </c>
      <c r="C22" s="32"/>
      <c r="D22" s="32"/>
      <c r="E22" s="37">
        <f>ROUND(SUM(C14:C21),2)</f>
        <v>178945.81</v>
      </c>
      <c r="G22" s="387"/>
      <c r="H22" s="387"/>
      <c r="I22" s="387"/>
      <c r="J22" s="387"/>
      <c r="K22" s="387"/>
      <c r="L22" s="387"/>
      <c r="M22" s="387"/>
    </row>
    <row r="23" spans="2:13" ht="15.75" x14ac:dyDescent="0.25">
      <c r="B23" s="138" t="s">
        <v>45</v>
      </c>
      <c r="C23" s="145"/>
      <c r="D23" s="145"/>
      <c r="E23" s="139">
        <f>ROUND(E11+E22,2)</f>
        <v>639588.68000000005</v>
      </c>
      <c r="G23" s="387"/>
      <c r="H23" s="387"/>
      <c r="I23" s="387"/>
      <c r="J23" s="387"/>
      <c r="K23" s="387"/>
      <c r="L23" s="387"/>
      <c r="M23" s="387"/>
    </row>
    <row r="24" spans="2:13" x14ac:dyDescent="0.25">
      <c r="B24" s="10"/>
      <c r="C24" s="32"/>
      <c r="D24" s="32"/>
      <c r="E24" s="37"/>
    </row>
    <row r="25" spans="2:13" ht="15.75" x14ac:dyDescent="0.25">
      <c r="B25" s="138" t="s">
        <v>46</v>
      </c>
      <c r="C25" s="136"/>
      <c r="D25" s="136"/>
      <c r="E25" s="137"/>
    </row>
    <row r="26" spans="2:13" x14ac:dyDescent="0.25">
      <c r="B26" s="70" t="s">
        <v>49</v>
      </c>
      <c r="C26" s="32"/>
      <c r="D26" s="32"/>
      <c r="E26" s="37"/>
    </row>
    <row r="27" spans="2:13" x14ac:dyDescent="0.25">
      <c r="B27" s="135" t="str">
        <f>IF('2019 Full Cash Budget'!O40&lt;0,"Cash (Bank Overdraft)","-")</f>
        <v>-</v>
      </c>
      <c r="C27" s="136">
        <f>IF('2019 Full Cash Budget'!O40&lt;0,-'2019 Full Cash Budget'!O40,0)</f>
        <v>0</v>
      </c>
      <c r="D27" s="136"/>
      <c r="E27" s="137"/>
    </row>
    <row r="28" spans="2:13" x14ac:dyDescent="0.25">
      <c r="B28" s="28" t="s">
        <v>567</v>
      </c>
      <c r="C28" s="32">
        <f>'(HIDE) Data Validation'!Z24</f>
        <v>8400</v>
      </c>
      <c r="D28" s="32"/>
      <c r="E28" s="37"/>
      <c r="H28" s="32"/>
    </row>
    <row r="29" spans="2:13" x14ac:dyDescent="0.25">
      <c r="B29" s="135" t="s">
        <v>568</v>
      </c>
      <c r="C29" s="136">
        <f>'(HIDE) Data Validation'!$H$13</f>
        <v>28000</v>
      </c>
      <c r="D29" s="136"/>
      <c r="E29" s="137"/>
      <c r="H29" s="32"/>
    </row>
    <row r="30" spans="2:13" x14ac:dyDescent="0.25">
      <c r="B30" s="28" t="s">
        <v>569</v>
      </c>
      <c r="C30" s="32">
        <v>300</v>
      </c>
      <c r="D30" s="32"/>
      <c r="E30" s="37"/>
      <c r="H30" s="32"/>
    </row>
    <row r="31" spans="2:13" x14ac:dyDescent="0.25">
      <c r="B31" s="135" t="s">
        <v>570</v>
      </c>
      <c r="C31" s="136">
        <f>'(HIDE) Data Validation'!$J$3</f>
        <v>5000</v>
      </c>
      <c r="D31" s="136"/>
      <c r="E31" s="137"/>
      <c r="H31" s="32"/>
    </row>
    <row r="32" spans="2:13" x14ac:dyDescent="0.25">
      <c r="B32" s="28" t="s">
        <v>571</v>
      </c>
      <c r="C32" s="32">
        <v>6800</v>
      </c>
      <c r="D32" s="32"/>
      <c r="E32" s="37"/>
      <c r="H32" s="32"/>
    </row>
    <row r="33" spans="2:20" x14ac:dyDescent="0.25">
      <c r="B33" s="135" t="s">
        <v>572</v>
      </c>
      <c r="C33" s="136">
        <f>'(HIDE) Data Validation'!Z17</f>
        <v>122880</v>
      </c>
      <c r="D33" s="136"/>
      <c r="E33" s="137"/>
      <c r="H33" s="32"/>
    </row>
    <row r="34" spans="2:20" ht="15.75" x14ac:dyDescent="0.25">
      <c r="B34" s="70" t="s">
        <v>47</v>
      </c>
      <c r="C34" s="32"/>
      <c r="D34" s="32"/>
      <c r="E34" s="39">
        <f>ROUND(SUM(C27:C33),2)</f>
        <v>171380</v>
      </c>
    </row>
    <row r="35" spans="2:20" x14ac:dyDescent="0.25">
      <c r="B35" s="143"/>
      <c r="C35" s="136"/>
      <c r="D35" s="136"/>
      <c r="E35" s="137"/>
    </row>
    <row r="36" spans="2:20" x14ac:dyDescent="0.25">
      <c r="B36" s="70" t="s">
        <v>50</v>
      </c>
      <c r="C36" s="32"/>
      <c r="D36" s="32"/>
      <c r="E36" s="37"/>
    </row>
    <row r="37" spans="2:20" x14ac:dyDescent="0.25">
      <c r="B37" s="135" t="s">
        <v>57</v>
      </c>
      <c r="C37" s="136">
        <f>'(HIDE) Data Validation'!Y132</f>
        <v>81902.03</v>
      </c>
      <c r="D37" s="136"/>
      <c r="E37" s="137"/>
    </row>
    <row r="38" spans="2:20" x14ac:dyDescent="0.25">
      <c r="B38" s="70" t="s">
        <v>48</v>
      </c>
      <c r="C38" s="32"/>
      <c r="D38" s="32"/>
      <c r="E38" s="37">
        <f>ROUND(C37,2)</f>
        <v>81902.03</v>
      </c>
    </row>
    <row r="39" spans="2:20" ht="15.75" x14ac:dyDescent="0.25">
      <c r="B39" s="138" t="s">
        <v>51</v>
      </c>
      <c r="C39" s="145"/>
      <c r="D39" s="145"/>
      <c r="E39" s="139">
        <f>ROUND(E38+E34,2)</f>
        <v>253282.03</v>
      </c>
    </row>
    <row r="40" spans="2:20" x14ac:dyDescent="0.25">
      <c r="B40" s="10"/>
      <c r="C40" s="32"/>
      <c r="D40" s="32"/>
      <c r="E40" s="37"/>
    </row>
    <row r="41" spans="2:20" ht="15.75" x14ac:dyDescent="0.25">
      <c r="B41" s="138" t="s">
        <v>52</v>
      </c>
      <c r="C41" s="145"/>
      <c r="D41" s="145"/>
      <c r="E41" s="139">
        <f>ROUND(E23-E39,2)</f>
        <v>386306.65</v>
      </c>
    </row>
    <row r="42" spans="2:20" x14ac:dyDescent="0.25">
      <c r="B42" s="10"/>
      <c r="C42" s="32"/>
      <c r="D42" s="32"/>
      <c r="E42" s="37"/>
    </row>
    <row r="43" spans="2:20" ht="15.75" x14ac:dyDescent="0.25">
      <c r="B43" s="138" t="s">
        <v>53</v>
      </c>
      <c r="C43" s="136"/>
      <c r="D43" s="136"/>
      <c r="E43" s="137"/>
    </row>
    <row r="44" spans="2:20" x14ac:dyDescent="0.25">
      <c r="B44" s="36" t="s">
        <v>330</v>
      </c>
      <c r="C44" s="32">
        <f>'(HIDE) Data Validation'!D19</f>
        <v>100000</v>
      </c>
      <c r="D44" s="32"/>
      <c r="E44" s="37"/>
    </row>
    <row r="45" spans="2:20" x14ac:dyDescent="0.25">
      <c r="B45" s="144" t="s">
        <v>331</v>
      </c>
      <c r="C45" s="136">
        <f>'(HIDE) Data Validation'!D21</f>
        <v>0</v>
      </c>
      <c r="D45" s="136"/>
      <c r="E45" s="137"/>
    </row>
    <row r="46" spans="2:20" ht="14.85" customHeight="1" x14ac:dyDescent="0.25">
      <c r="B46" s="36" t="s">
        <v>328</v>
      </c>
      <c r="C46" s="32">
        <f>'2019 Inc Statement'!F39</f>
        <v>286306.65000000002</v>
      </c>
      <c r="D46" s="32"/>
      <c r="E46" s="37"/>
      <c r="G46" s="400" t="s">
        <v>714</v>
      </c>
      <c r="H46" s="400"/>
      <c r="I46" s="400"/>
      <c r="J46" s="400"/>
      <c r="K46" s="400"/>
      <c r="L46" s="400"/>
      <c r="M46" s="400"/>
      <c r="N46" s="400"/>
      <c r="O46" s="400"/>
      <c r="P46" s="400"/>
      <c r="Q46" s="400"/>
      <c r="R46" s="400"/>
      <c r="S46" s="400"/>
      <c r="T46" s="400"/>
    </row>
    <row r="47" spans="2:20" ht="14.85" customHeight="1" x14ac:dyDescent="0.25">
      <c r="B47" s="144" t="s">
        <v>329</v>
      </c>
      <c r="C47" s="136">
        <f>'2019 Inc Statement'!F38</f>
        <v>0</v>
      </c>
      <c r="D47" s="136"/>
      <c r="E47" s="137"/>
      <c r="G47" s="400"/>
      <c r="H47" s="400"/>
      <c r="I47" s="400"/>
      <c r="J47" s="400"/>
      <c r="K47" s="400"/>
      <c r="L47" s="400"/>
      <c r="M47" s="400"/>
      <c r="N47" s="400"/>
      <c r="O47" s="400"/>
      <c r="P47" s="400"/>
      <c r="Q47" s="400"/>
      <c r="R47" s="400"/>
      <c r="S47" s="400"/>
      <c r="T47" s="400"/>
    </row>
    <row r="48" spans="2:20" ht="15.95" customHeight="1" x14ac:dyDescent="0.25">
      <c r="B48" s="26" t="s">
        <v>54</v>
      </c>
      <c r="C48" s="38"/>
      <c r="D48" s="38"/>
      <c r="E48" s="39">
        <f>ROUND(SUM(C44:C47),2)</f>
        <v>386306.65</v>
      </c>
      <c r="G48" s="400"/>
      <c r="H48" s="400"/>
      <c r="I48" s="400"/>
      <c r="J48" s="400"/>
      <c r="K48" s="400"/>
      <c r="L48" s="400"/>
      <c r="M48" s="400"/>
      <c r="N48" s="400"/>
      <c r="O48" s="400"/>
      <c r="P48" s="400"/>
      <c r="Q48" s="400"/>
      <c r="R48" s="400"/>
      <c r="S48" s="400"/>
      <c r="T48" s="400"/>
    </row>
    <row r="49" spans="2:20" ht="14.85" customHeight="1" x14ac:dyDescent="0.25">
      <c r="B49" s="110"/>
      <c r="C49" s="150"/>
      <c r="D49" s="150"/>
      <c r="E49" s="151"/>
      <c r="G49" s="400"/>
      <c r="H49" s="400"/>
      <c r="I49" s="400"/>
      <c r="J49" s="400"/>
      <c r="K49" s="400"/>
      <c r="L49" s="400"/>
      <c r="M49" s="400"/>
      <c r="N49" s="400"/>
      <c r="O49" s="400"/>
      <c r="P49" s="400"/>
      <c r="Q49" s="400"/>
      <c r="R49" s="400"/>
      <c r="S49" s="400"/>
      <c r="T49" s="400"/>
    </row>
    <row r="50" spans="2:20" ht="14.85" customHeight="1" x14ac:dyDescent="0.25">
      <c r="B50" s="23"/>
      <c r="C50" s="30"/>
      <c r="D50" s="30"/>
      <c r="E50" s="31"/>
      <c r="G50" s="400"/>
      <c r="H50" s="400"/>
      <c r="I50" s="400"/>
      <c r="J50" s="400"/>
      <c r="K50" s="400"/>
      <c r="L50" s="400"/>
      <c r="M50" s="400"/>
      <c r="N50" s="400"/>
      <c r="O50" s="400"/>
      <c r="P50" s="400"/>
      <c r="Q50" s="400"/>
      <c r="R50" s="400"/>
      <c r="S50" s="400"/>
      <c r="T50" s="400"/>
    </row>
    <row r="51" spans="2:20" x14ac:dyDescent="0.25">
      <c r="G51" s="400"/>
      <c r="H51" s="400"/>
      <c r="I51" s="400"/>
      <c r="J51" s="400"/>
      <c r="K51" s="400"/>
      <c r="L51" s="400"/>
      <c r="M51" s="400"/>
      <c r="N51" s="400"/>
      <c r="O51" s="400"/>
      <c r="P51" s="400"/>
      <c r="Q51" s="400"/>
      <c r="R51" s="400"/>
      <c r="S51" s="400"/>
      <c r="T51" s="400"/>
    </row>
  </sheetData>
  <sheetProtection algorithmName="SHA-512" hashValue="YIzaLxPXWHvWBWoOn6YgVCW5D6izgK1p4x4aY/Nl8v9Rxd9m+GSwMZdyP6DU+aaJG71fLtGRbqSYG6id6ZSgOw==" saltValue="Yy4PkYnli/caeNf2CN0JyA==" spinCount="100000" sheet="1" objects="1" scenarios="1" formatColumns="0" formatRows="0" selectLockedCells="1"/>
  <mergeCells count="5">
    <mergeCell ref="B2:E2"/>
    <mergeCell ref="B3:E3"/>
    <mergeCell ref="B4:E4"/>
    <mergeCell ref="G13:M23"/>
    <mergeCell ref="G46:T51"/>
  </mergeCells>
  <pageMargins left="0.7" right="0.7" top="0.75" bottom="0.75" header="0.3" footer="0.3"/>
  <pageSetup paperSize="9" orientation="portrait" horizontalDpi="0" verticalDpi="0" r:id="rId1"/>
  <cellWatches>
    <cellWatch r="A1"/>
  </cellWatch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1:Z33"/>
  <sheetViews>
    <sheetView zoomScaleNormal="100" workbookViewId="0">
      <selection activeCell="E5" sqref="E5"/>
    </sheetView>
  </sheetViews>
  <sheetFormatPr defaultColWidth="8.85546875" defaultRowHeight="44.45" customHeight="1" x14ac:dyDescent="0.3"/>
  <cols>
    <col min="1" max="1" width="12.85546875" style="40" bestFit="1" customWidth="1"/>
    <col min="2" max="2" width="11.5703125" style="325" customWidth="1"/>
    <col min="3" max="3" width="8.85546875" style="40"/>
    <col min="4" max="4" width="50.28515625" style="59" customWidth="1"/>
    <col min="5" max="5" width="21.42578125" style="326" customWidth="1"/>
    <col min="6" max="6" width="3.28515625" style="1" customWidth="1"/>
    <col min="7" max="7" width="41.28515625" style="12" customWidth="1"/>
    <col min="8" max="8" width="4.140625" style="1" customWidth="1"/>
    <col min="9" max="9" width="8.85546875" style="1"/>
    <col min="10" max="10" width="12.28515625" style="1" bestFit="1" customWidth="1"/>
    <col min="11" max="15" width="8.85546875" style="1"/>
    <col min="16" max="16" width="25.5703125" style="1" customWidth="1"/>
    <col min="17" max="17" width="3.28515625" style="1" customWidth="1"/>
    <col min="18" max="16384" width="8.85546875" style="1"/>
  </cols>
  <sheetData>
    <row r="1" spans="1:26" ht="54.6" customHeight="1" x14ac:dyDescent="0.3">
      <c r="A1" s="48" t="s">
        <v>58</v>
      </c>
      <c r="B1" s="312" t="s">
        <v>426</v>
      </c>
      <c r="C1" s="49"/>
      <c r="D1" s="313"/>
      <c r="E1" s="401" t="s">
        <v>703</v>
      </c>
      <c r="F1" s="401"/>
      <c r="G1" s="401"/>
      <c r="H1" s="401"/>
      <c r="I1" s="401"/>
      <c r="J1" s="401"/>
      <c r="K1" s="401"/>
      <c r="L1" s="401"/>
      <c r="M1" s="401"/>
      <c r="N1" s="401"/>
      <c r="O1" s="401"/>
      <c r="P1" s="401"/>
    </row>
    <row r="2" spans="1:26" ht="54.6" customHeight="1" thickBot="1" x14ac:dyDescent="0.35">
      <c r="A2" s="48"/>
      <c r="B2" s="402" t="s">
        <v>599</v>
      </c>
      <c r="C2" s="402"/>
      <c r="D2" s="402"/>
      <c r="E2" s="401"/>
      <c r="F2" s="401"/>
      <c r="G2" s="401"/>
      <c r="H2" s="401"/>
      <c r="I2" s="401"/>
      <c r="J2" s="401"/>
      <c r="K2" s="401"/>
      <c r="L2" s="401"/>
      <c r="M2" s="401"/>
      <c r="N2" s="401"/>
      <c r="O2" s="401"/>
      <c r="P2" s="401"/>
    </row>
    <row r="3" spans="1:26" ht="54.6" customHeight="1" thickTop="1" thickBot="1" x14ac:dyDescent="0.3">
      <c r="A3" s="1"/>
      <c r="B3" s="403"/>
      <c r="C3" s="404"/>
      <c r="D3" s="314" t="str">
        <f>"   Round this to: "&amp;TEXT(ROUND(B3,4),"#,##0.0000")</f>
        <v xml:space="preserve">   Round this to: 0.0000</v>
      </c>
      <c r="E3" s="401"/>
      <c r="F3" s="401"/>
      <c r="G3" s="401"/>
      <c r="H3" s="401"/>
      <c r="I3" s="401"/>
      <c r="J3" s="401"/>
      <c r="K3" s="401"/>
      <c r="L3" s="401"/>
      <c r="M3" s="401"/>
      <c r="N3" s="401"/>
      <c r="O3" s="401"/>
      <c r="P3" s="401"/>
    </row>
    <row r="4" spans="1:26" ht="75.2" customHeight="1" thickTop="1" thickBot="1" x14ac:dyDescent="0.35">
      <c r="A4" s="1"/>
      <c r="B4" s="315"/>
      <c r="C4" s="48" t="s">
        <v>427</v>
      </c>
      <c r="D4" s="50"/>
      <c r="E4" s="401"/>
      <c r="F4" s="401"/>
      <c r="G4" s="401"/>
      <c r="H4" s="401"/>
      <c r="I4" s="401"/>
      <c r="J4" s="401"/>
      <c r="K4" s="401"/>
      <c r="L4" s="401"/>
      <c r="M4" s="401"/>
      <c r="N4" s="401"/>
      <c r="O4" s="401"/>
      <c r="P4" s="401"/>
    </row>
    <row r="5" spans="1:26" s="55" customFormat="1" ht="54.6" customHeight="1" thickTop="1" thickBot="1" x14ac:dyDescent="0.35">
      <c r="A5" s="52"/>
      <c r="B5" s="316"/>
      <c r="C5" s="53"/>
      <c r="D5" s="54" t="s">
        <v>515</v>
      </c>
      <c r="E5" s="317"/>
      <c r="G5" s="318" t="str">
        <f>IF(OR(ISNUMBER(E5),E5=""),IF(ROUND(E5,4)=E5,"","PLEASE DO NOT INCLUDE ANY WORKINGS AND ROUND YOUR ANSWER TO 4 DECIMAL PLACES"),"ONLY INCLUDE YOUR ANSWER. DO NOT INCLUDE ANY WORKINGS")</f>
        <v/>
      </c>
      <c r="H5" s="71"/>
      <c r="I5" s="56"/>
      <c r="J5" s="56"/>
      <c r="K5" s="56"/>
      <c r="L5" s="56"/>
    </row>
    <row r="6" spans="1:26" ht="54.6" customHeight="1" thickTop="1" thickBot="1" x14ac:dyDescent="0.35">
      <c r="A6" s="52"/>
      <c r="B6" s="316"/>
      <c r="C6" s="49"/>
      <c r="D6" s="50" t="s">
        <v>516</v>
      </c>
      <c r="E6" s="317"/>
      <c r="G6" s="318" t="str">
        <f>IF(OR(ISNUMBER(E6),E6=""),IF(ROUND(E6,4)=E6,"","PLEASE DO NOT INCLUDE ANY WORKINGS AND ROUND YOUR ANSWER TO 4 DECIMAL PLACES"),"ONLY INCLUDE YOUR ANSWER. DO NOT INCLUDE ANY WORKINGS")</f>
        <v/>
      </c>
      <c r="H6" s="71"/>
      <c r="I6" s="51"/>
      <c r="J6" s="51"/>
      <c r="K6" s="51"/>
      <c r="L6" s="51"/>
    </row>
    <row r="7" spans="1:26" ht="54.6" customHeight="1" thickTop="1" thickBot="1" x14ac:dyDescent="0.35">
      <c r="A7" s="52"/>
      <c r="B7" s="316"/>
      <c r="C7" s="49"/>
      <c r="D7" s="50" t="s">
        <v>517</v>
      </c>
      <c r="E7" s="317"/>
      <c r="G7" s="318" t="str">
        <f>IF(OR(ISNUMBER(E7),E7=""),IF(ROUND(E7,4)=E7,"","PLEASE DO NOT INCLUDE ANY WORKINGS AND ROUND YOUR ANSWER TO 4 DECIMAL PLACES"),"ONLY INCLUDE YOUR ANSWER. DO NOT INCLUDE ANY WORKINGS")</f>
        <v/>
      </c>
      <c r="H7" s="71"/>
      <c r="I7" s="51"/>
      <c r="J7" s="51"/>
      <c r="K7" s="51"/>
      <c r="L7" s="51"/>
    </row>
    <row r="8" spans="1:26" ht="54.6" customHeight="1" thickTop="1" thickBot="1" x14ac:dyDescent="0.35">
      <c r="A8" s="52"/>
      <c r="B8" s="316"/>
      <c r="C8" s="49"/>
      <c r="D8" s="50" t="s">
        <v>518</v>
      </c>
      <c r="E8" s="317"/>
      <c r="G8" s="318" t="str">
        <f>IF(OR(ISNUMBER(E8),E8=""),IF(ROUND(E8,4)=E8,"","PLEASE DO NOT INCLUDE ANY WORKINGS AND ROUND YOUR ANSWER TO 4 DECIMAL PLACES"),"ONLY INCLUDE YOUR ANSWER. DO NOT INCLUDE ANY WORKINGS")</f>
        <v/>
      </c>
      <c r="H8" s="71"/>
      <c r="I8" s="51"/>
      <c r="J8" s="51"/>
      <c r="K8" s="51"/>
      <c r="L8" s="51"/>
    </row>
    <row r="9" spans="1:26" ht="54.6" customHeight="1" thickTop="1" thickBot="1" x14ac:dyDescent="0.35">
      <c r="A9" s="52"/>
      <c r="B9" s="316"/>
      <c r="C9" s="49"/>
      <c r="D9" s="50" t="s">
        <v>519</v>
      </c>
      <c r="E9" s="317"/>
      <c r="G9" s="318" t="str">
        <f>IF(OR(ISNUMBER(E9),E9=""),IF(ROUND(E9,4)=E9,"","PLEASE DO NOT INCLUDE ANY WORKINGS AND ROUND YOUR ANSWER TO 4 DECIMAL PLACES"),"ONLY INCLUDE YOUR ANSWER. DO NOT INCLUDE ANY WORKINGS")</f>
        <v/>
      </c>
      <c r="H9" s="71"/>
      <c r="I9" s="51"/>
      <c r="J9" s="51"/>
      <c r="K9" s="51"/>
      <c r="L9" s="51"/>
    </row>
    <row r="10" spans="1:26" ht="54.6" customHeight="1" thickTop="1" thickBot="1" x14ac:dyDescent="0.35">
      <c r="A10" s="52"/>
      <c r="B10" s="319"/>
      <c r="C10" s="48" t="s">
        <v>59</v>
      </c>
      <c r="D10" s="50"/>
      <c r="E10" s="320"/>
      <c r="G10" s="318"/>
      <c r="H10" s="71"/>
      <c r="I10" s="51"/>
      <c r="J10" s="51"/>
      <c r="K10" s="51"/>
      <c r="L10" s="51"/>
    </row>
    <row r="11" spans="1:26" ht="54.6" customHeight="1" thickTop="1" thickBot="1" x14ac:dyDescent="0.35">
      <c r="A11" s="48"/>
      <c r="B11" s="316"/>
      <c r="C11" s="48"/>
      <c r="D11" s="50" t="s">
        <v>60</v>
      </c>
      <c r="E11" s="317"/>
      <c r="G11" s="318" t="str">
        <f t="shared" ref="G11:G16" si="0">IF(OR(ISNUMBER(E11),E11=""),IF(ROUND(E11,4)=E11,"","PLEASE DO NOT INCLUDE ANY WORKINGS AND ROUND YOUR ANSWER TO 4 DECIMAL PLACES"),"ONLY INCLUDE YOUR ANSWER. DO NOT INCLUDE ANY WORKINGS")</f>
        <v/>
      </c>
      <c r="H11" s="71"/>
      <c r="I11" s="51"/>
      <c r="J11" s="51"/>
      <c r="K11" s="51"/>
      <c r="L11" s="51"/>
    </row>
    <row r="12" spans="1:26" s="55" customFormat="1" ht="54.6" customHeight="1" thickTop="1" thickBot="1" x14ac:dyDescent="0.35">
      <c r="A12" s="52"/>
      <c r="B12" s="316"/>
      <c r="C12" s="53"/>
      <c r="D12" s="54" t="s">
        <v>457</v>
      </c>
      <c r="E12" s="317"/>
      <c r="G12" s="318" t="str">
        <f t="shared" si="0"/>
        <v/>
      </c>
      <c r="H12" s="71"/>
      <c r="I12" s="56"/>
      <c r="J12" s="56"/>
      <c r="K12" s="56"/>
      <c r="L12" s="56"/>
    </row>
    <row r="13" spans="1:26" s="55" customFormat="1" ht="77.849999999999994" customHeight="1" thickTop="1" thickBot="1" x14ac:dyDescent="0.35">
      <c r="A13" s="52"/>
      <c r="B13" s="316"/>
      <c r="C13" s="405" t="s">
        <v>756</v>
      </c>
      <c r="D13" s="406"/>
      <c r="E13" s="317"/>
      <c r="G13" s="318" t="str">
        <f t="shared" si="0"/>
        <v/>
      </c>
      <c r="H13" s="71"/>
      <c r="I13" s="56"/>
      <c r="J13" s="56"/>
      <c r="K13" s="56"/>
      <c r="L13" s="56"/>
    </row>
    <row r="14" spans="1:26" ht="75.95" customHeight="1" thickTop="1" thickBot="1" x14ac:dyDescent="0.35">
      <c r="A14" s="48"/>
      <c r="B14" s="316"/>
      <c r="C14" s="407" t="s">
        <v>713</v>
      </c>
      <c r="D14" s="408"/>
      <c r="E14" s="317"/>
      <c r="G14" s="318" t="str">
        <f t="shared" si="0"/>
        <v/>
      </c>
      <c r="H14" s="71"/>
      <c r="I14" s="51"/>
      <c r="J14" s="57"/>
      <c r="K14" s="51"/>
      <c r="L14" s="51"/>
      <c r="R14" s="340"/>
      <c r="S14" s="340"/>
      <c r="T14" s="340"/>
      <c r="U14" s="340"/>
      <c r="V14" s="340"/>
      <c r="W14" s="340"/>
      <c r="X14" s="340"/>
      <c r="Y14" s="340"/>
      <c r="Z14" s="340"/>
    </row>
    <row r="15" spans="1:26" s="55" customFormat="1" ht="83.1" customHeight="1" thickTop="1" thickBot="1" x14ac:dyDescent="0.35">
      <c r="A15" s="52"/>
      <c r="B15" s="316"/>
      <c r="C15" s="52"/>
      <c r="D15" s="60" t="s">
        <v>708</v>
      </c>
      <c r="E15" s="317"/>
      <c r="G15" s="318" t="str">
        <f t="shared" si="0"/>
        <v/>
      </c>
      <c r="H15" s="71"/>
      <c r="I15" s="56"/>
      <c r="J15" s="56"/>
      <c r="K15" s="56"/>
      <c r="L15" s="56"/>
      <c r="R15" s="340"/>
      <c r="S15" s="340"/>
      <c r="T15" s="340"/>
      <c r="U15" s="340"/>
      <c r="V15" s="340"/>
      <c r="W15" s="340"/>
      <c r="X15" s="340"/>
      <c r="Y15" s="340"/>
      <c r="Z15" s="340"/>
    </row>
    <row r="16" spans="1:26" ht="54.6" customHeight="1" thickTop="1" thickBot="1" x14ac:dyDescent="0.35">
      <c r="A16" s="48"/>
      <c r="B16" s="316"/>
      <c r="C16" s="48"/>
      <c r="D16" s="240" t="s">
        <v>707</v>
      </c>
      <c r="E16" s="317"/>
      <c r="G16" s="318" t="str">
        <f t="shared" si="0"/>
        <v/>
      </c>
      <c r="H16" s="71"/>
      <c r="I16" s="51"/>
      <c r="J16" s="57"/>
      <c r="K16" s="57"/>
      <c r="R16" s="343"/>
      <c r="S16" s="343"/>
      <c r="T16" s="343"/>
      <c r="U16" s="343"/>
      <c r="V16" s="343"/>
      <c r="W16" s="343"/>
      <c r="X16" s="343"/>
      <c r="Y16" s="343"/>
      <c r="Z16" s="343"/>
    </row>
    <row r="17" spans="1:13" ht="54.6" customHeight="1" thickTop="1" thickBot="1" x14ac:dyDescent="0.35">
      <c r="A17" s="48"/>
      <c r="B17" s="321"/>
      <c r="C17" s="48" t="s">
        <v>220</v>
      </c>
      <c r="D17" s="50"/>
      <c r="E17" s="322"/>
      <c r="G17" s="318"/>
      <c r="H17" s="71"/>
      <c r="I17" s="51"/>
      <c r="J17" s="51"/>
      <c r="K17" s="51"/>
      <c r="L17" s="51"/>
    </row>
    <row r="18" spans="1:13" ht="54.6" customHeight="1" thickTop="1" thickBot="1" x14ac:dyDescent="0.35">
      <c r="A18" s="48"/>
      <c r="B18" s="316"/>
      <c r="C18" s="49"/>
      <c r="D18" s="50" t="s">
        <v>218</v>
      </c>
      <c r="E18" s="317"/>
      <c r="G18" s="318" t="str">
        <f>IF(OR(ISNUMBER(E18),E18=""),IF(ROUND(E18,4)=E18,"","PLEASE DO NOT INCLUDE ANY WORKINGS AND ROUND YOUR ANSWER TO 4 DECIMAL PLACES"),"ONLY INCLUDE YOUR ANSWER. DO NOT INCLUDE ANY WORKINGS")</f>
        <v/>
      </c>
      <c r="H18" s="71"/>
      <c r="I18" s="51"/>
      <c r="J18" s="51"/>
      <c r="K18" s="51"/>
      <c r="L18" s="51"/>
    </row>
    <row r="19" spans="1:13" ht="54.6" customHeight="1" thickTop="1" thickBot="1" x14ac:dyDescent="0.35">
      <c r="A19" s="48"/>
      <c r="B19" s="316"/>
      <c r="C19" s="49"/>
      <c r="D19" s="50" t="s">
        <v>219</v>
      </c>
      <c r="E19" s="317"/>
      <c r="G19" s="318" t="str">
        <f>IF(OR(ISNUMBER(E19),E19=""),IF(ROUND(E19,4)=E19,"","PLEASE DO NOT INCLUDE ANY WORKINGS AND ROUND YOUR ANSWER TO 4 DECIMAL PLACES"),"ONLY INCLUDE YOUR ANSWER. DO NOT INCLUDE ANY WORKINGS")</f>
        <v/>
      </c>
      <c r="H19" s="71"/>
      <c r="I19" s="51"/>
      <c r="J19" s="51"/>
      <c r="K19" s="51"/>
      <c r="L19" s="51"/>
    </row>
    <row r="20" spans="1:13" ht="54.6" customHeight="1" thickTop="1" thickBot="1" x14ac:dyDescent="0.35">
      <c r="A20" s="48"/>
      <c r="B20" s="316"/>
      <c r="C20" s="49"/>
      <c r="D20" s="50" t="s">
        <v>221</v>
      </c>
      <c r="E20" s="317"/>
      <c r="G20" s="318" t="str">
        <f>IF(OR(ISNUMBER(E20),E20=""),IF(ROUND(E20,4)=E20,"","PLEASE DO NOT INCLUDE ANY WORKINGS AND ROUND YOUR ANSWER TO 4 DECIMAL PLACES"),"ONLY INCLUDE YOUR ANSWER. DO NOT INCLUDE ANY WORKINGS")</f>
        <v/>
      </c>
      <c r="H20" s="71"/>
      <c r="I20" s="51"/>
      <c r="J20" s="51"/>
      <c r="K20" s="51"/>
      <c r="L20" s="51"/>
    </row>
    <row r="21" spans="1:13" s="55" customFormat="1" ht="53.1" customHeight="1" thickTop="1" thickBot="1" x14ac:dyDescent="0.35">
      <c r="A21" s="52"/>
      <c r="B21" s="316"/>
      <c r="C21" s="53"/>
      <c r="D21" s="54" t="s">
        <v>676</v>
      </c>
      <c r="E21" s="317"/>
      <c r="G21" s="318" t="str">
        <f>IF(OR(ISNUMBER(E21),E21=""),IF(ROUND(E21,4)=E21,"","PLEASE DO NOT INCLUDE ANY WORKINGS AND ROUND YOUR ANSWER TO 4 DECIMAL PLACES"),"ONLY INCLUDE YOUR ANSWER. DO NOT INCLUDE ANY WORKINGS")</f>
        <v/>
      </c>
      <c r="H21" s="71"/>
      <c r="I21" s="56"/>
      <c r="J21" s="56"/>
      <c r="K21" s="56"/>
      <c r="L21" s="56"/>
    </row>
    <row r="22" spans="1:13" ht="54.6" customHeight="1" thickTop="1" x14ac:dyDescent="0.3">
      <c r="A22" s="48"/>
      <c r="B22" s="321"/>
      <c r="C22" s="48"/>
      <c r="D22" s="50"/>
      <c r="E22" s="322"/>
      <c r="F22" s="51"/>
      <c r="G22" s="231"/>
      <c r="H22" s="71"/>
      <c r="I22" s="62"/>
      <c r="J22" s="61"/>
      <c r="K22" s="61"/>
      <c r="L22" s="61"/>
      <c r="M22" s="61"/>
    </row>
    <row r="23" spans="1:13" ht="44.45" customHeight="1" x14ac:dyDescent="0.25">
      <c r="A23" s="1"/>
      <c r="B23" s="323"/>
      <c r="C23" s="1"/>
      <c r="D23" s="50"/>
      <c r="E23" s="322"/>
      <c r="F23" s="51"/>
      <c r="G23" s="231"/>
      <c r="I23" s="51"/>
      <c r="J23" s="51"/>
      <c r="K23" s="51"/>
      <c r="L23" s="51"/>
    </row>
    <row r="24" spans="1:13" ht="44.45" customHeight="1" x14ac:dyDescent="0.25">
      <c r="A24" s="1"/>
      <c r="B24" s="323"/>
      <c r="C24" s="1"/>
      <c r="D24" s="50"/>
      <c r="E24" s="322"/>
      <c r="F24" s="51"/>
      <c r="G24" s="231"/>
      <c r="H24" s="51"/>
      <c r="I24" s="51"/>
      <c r="J24" s="51"/>
      <c r="K24" s="51"/>
      <c r="L24" s="51"/>
    </row>
    <row r="25" spans="1:13" ht="44.45" customHeight="1" x14ac:dyDescent="0.25">
      <c r="A25" s="1"/>
      <c r="B25" s="323"/>
      <c r="C25" s="1"/>
      <c r="D25" s="50"/>
      <c r="E25" s="322"/>
      <c r="F25" s="51"/>
      <c r="G25" s="231"/>
      <c r="H25" s="51"/>
      <c r="I25" s="51"/>
      <c r="J25" s="51"/>
      <c r="K25" s="51"/>
      <c r="L25" s="51"/>
    </row>
    <row r="26" spans="1:13" ht="44.45" customHeight="1" x14ac:dyDescent="0.25">
      <c r="A26" s="1"/>
      <c r="B26" s="323"/>
      <c r="C26" s="1"/>
      <c r="D26" s="50"/>
      <c r="E26" s="322"/>
      <c r="F26" s="51"/>
      <c r="G26" s="231"/>
      <c r="H26" s="51"/>
      <c r="I26" s="51"/>
      <c r="J26" s="51"/>
      <c r="K26" s="51"/>
      <c r="L26" s="51"/>
    </row>
    <row r="27" spans="1:13" ht="44.45" customHeight="1" x14ac:dyDescent="0.25">
      <c r="A27" s="1"/>
      <c r="B27" s="323"/>
      <c r="C27" s="1"/>
      <c r="D27" s="50"/>
      <c r="E27" s="322"/>
      <c r="F27" s="51"/>
      <c r="G27" s="231"/>
      <c r="H27" s="51"/>
      <c r="I27" s="51"/>
      <c r="J27" s="51"/>
      <c r="K27" s="51"/>
      <c r="L27" s="51"/>
    </row>
    <row r="28" spans="1:13" ht="44.45" customHeight="1" x14ac:dyDescent="0.25">
      <c r="A28" s="1"/>
      <c r="B28" s="323"/>
      <c r="C28" s="1"/>
      <c r="D28" s="50"/>
      <c r="E28" s="322"/>
      <c r="F28" s="51"/>
      <c r="G28" s="231"/>
      <c r="H28" s="51"/>
      <c r="I28" s="51"/>
      <c r="J28" s="51"/>
      <c r="K28" s="51"/>
      <c r="L28" s="51"/>
    </row>
    <row r="29" spans="1:13" ht="44.45" customHeight="1" x14ac:dyDescent="0.25">
      <c r="A29" s="1"/>
      <c r="B29" s="323"/>
      <c r="C29" s="1"/>
      <c r="D29" s="50"/>
      <c r="E29" s="324"/>
      <c r="F29" s="58"/>
      <c r="G29" s="233"/>
      <c r="H29" s="58"/>
      <c r="I29" s="58"/>
      <c r="J29" s="58"/>
      <c r="K29" s="58"/>
      <c r="L29" s="58"/>
    </row>
    <row r="30" spans="1:13" ht="44.45" customHeight="1" x14ac:dyDescent="0.25">
      <c r="A30" s="1"/>
      <c r="B30" s="323"/>
      <c r="C30" s="1"/>
      <c r="D30" s="50"/>
      <c r="E30" s="324"/>
      <c r="F30" s="58"/>
      <c r="G30" s="233"/>
      <c r="H30" s="58"/>
      <c r="I30" s="58"/>
      <c r="J30" s="58"/>
      <c r="K30" s="58"/>
      <c r="L30" s="58"/>
    </row>
    <row r="31" spans="1:13" ht="44.45" customHeight="1" x14ac:dyDescent="0.25">
      <c r="A31" s="1"/>
      <c r="B31" s="323"/>
      <c r="C31" s="1"/>
      <c r="D31" s="50"/>
      <c r="E31" s="324"/>
      <c r="F31" s="58"/>
      <c r="G31" s="233"/>
      <c r="H31" s="58"/>
      <c r="I31" s="58"/>
      <c r="J31" s="58"/>
      <c r="K31" s="58"/>
      <c r="L31" s="58"/>
    </row>
    <row r="32" spans="1:13" ht="44.45" customHeight="1" x14ac:dyDescent="0.25">
      <c r="A32" s="1"/>
      <c r="B32" s="323"/>
      <c r="C32" s="1"/>
      <c r="D32" s="50"/>
      <c r="E32" s="324"/>
      <c r="F32" s="58"/>
      <c r="G32" s="233"/>
      <c r="H32" s="58"/>
      <c r="I32" s="58"/>
      <c r="J32" s="58"/>
      <c r="K32" s="58"/>
      <c r="L32" s="58"/>
    </row>
    <row r="33" spans="1:12" ht="44.45" customHeight="1" x14ac:dyDescent="0.25">
      <c r="A33" s="1"/>
      <c r="B33" s="323"/>
      <c r="C33" s="1"/>
      <c r="D33" s="50"/>
      <c r="E33" s="324"/>
      <c r="F33" s="58"/>
      <c r="G33" s="233"/>
      <c r="H33" s="58"/>
      <c r="I33" s="58"/>
      <c r="J33" s="58"/>
      <c r="K33" s="58"/>
      <c r="L33" s="58"/>
    </row>
  </sheetData>
  <sheetProtection algorithmName="SHA-512" hashValue="ed1Vexmj2LPBTmFur74EVQ7Zss5u34Vk1wUoSVrxThKDHgKqdo2uRaE61YRStwyoPAT3pOAMBg//ME1XXn/+zA==" saltValue="UcsXldrir+vS17iZ09/j0Q==" spinCount="100000" sheet="1" objects="1" scenarios="1" formatColumns="0" formatRows="0"/>
  <protectedRanges>
    <protectedRange sqref="B3:C3" name="Range4"/>
    <protectedRange sqref="E11:E16" name="Range2"/>
    <protectedRange sqref="E5:E9" name="Range1"/>
    <protectedRange sqref="E18:E21" name="Range3"/>
  </protectedRanges>
  <mergeCells count="8">
    <mergeCell ref="E1:P4"/>
    <mergeCell ref="B2:D2"/>
    <mergeCell ref="B3:C3"/>
    <mergeCell ref="R16:Z16"/>
    <mergeCell ref="R15:Z15"/>
    <mergeCell ref="R14:Z14"/>
    <mergeCell ref="C13:D13"/>
    <mergeCell ref="C14:D14"/>
  </mergeCells>
  <conditionalFormatting sqref="B3">
    <cfRule type="expression" dxfId="31" priority="1">
      <formula>$E$5&lt;&gt;ROUND($E$5,4)</formula>
    </cfRule>
  </conditionalFormatting>
  <conditionalFormatting sqref="E5">
    <cfRule type="expression" dxfId="30" priority="16">
      <formula>$E$5&lt;&gt;ROUND($E$5,4)</formula>
    </cfRule>
  </conditionalFormatting>
  <conditionalFormatting sqref="E6">
    <cfRule type="expression" dxfId="29" priority="15">
      <formula>$E$6&lt;&gt;ROUND($E$6,4)</formula>
    </cfRule>
  </conditionalFormatting>
  <conditionalFormatting sqref="E7">
    <cfRule type="expression" dxfId="28" priority="14">
      <formula>$E$7&lt;&gt;ROUND($E$7,4)</formula>
    </cfRule>
  </conditionalFormatting>
  <conditionalFormatting sqref="E8">
    <cfRule type="expression" dxfId="27" priority="13">
      <formula>$E$8&lt;&gt;ROUND($E$8,4)</formula>
    </cfRule>
  </conditionalFormatting>
  <conditionalFormatting sqref="E9">
    <cfRule type="expression" dxfId="26" priority="12">
      <formula>$E$9&lt;&gt;ROUND($E$9,4)</formula>
    </cfRule>
  </conditionalFormatting>
  <conditionalFormatting sqref="E11">
    <cfRule type="expression" dxfId="25" priority="11">
      <formula>$E$11&lt;&gt;ROUND($E$11,4)</formula>
    </cfRule>
  </conditionalFormatting>
  <conditionalFormatting sqref="E12">
    <cfRule type="expression" dxfId="24" priority="10">
      <formula>$E$12&lt;&gt;ROUND($E$12,4)</formula>
    </cfRule>
  </conditionalFormatting>
  <conditionalFormatting sqref="E13">
    <cfRule type="expression" dxfId="23" priority="9">
      <formula>$E$13&lt;&gt;ROUND($E$13,4)</formula>
    </cfRule>
  </conditionalFormatting>
  <conditionalFormatting sqref="E14">
    <cfRule type="expression" dxfId="22" priority="8">
      <formula>$E$14&lt;&gt;ROUND($E$14,4)</formula>
    </cfRule>
  </conditionalFormatting>
  <conditionalFormatting sqref="E15">
    <cfRule type="expression" dxfId="21" priority="7">
      <formula>$E$15&lt;&gt;ROUND($E$15,4)</formula>
    </cfRule>
  </conditionalFormatting>
  <conditionalFormatting sqref="E16">
    <cfRule type="expression" dxfId="20" priority="6">
      <formula>$E$16&lt;&gt;ROUND($E$16,4)</formula>
    </cfRule>
  </conditionalFormatting>
  <conditionalFormatting sqref="E18">
    <cfRule type="expression" dxfId="19" priority="5">
      <formula>$E$18&lt;&gt;ROUND($E$18,4)</formula>
    </cfRule>
  </conditionalFormatting>
  <conditionalFormatting sqref="E19">
    <cfRule type="expression" dxfId="18" priority="4">
      <formula>$E$19&lt;&gt;ROUND($E$19,4)</formula>
    </cfRule>
  </conditionalFormatting>
  <conditionalFormatting sqref="E20">
    <cfRule type="expression" dxfId="17" priority="3">
      <formula>$E$20&lt;&gt;ROUND($E$20,4)</formula>
    </cfRule>
  </conditionalFormatting>
  <conditionalFormatting sqref="E21">
    <cfRule type="expression" dxfId="16" priority="2">
      <formula>$E$21&lt;&gt;ROUND($E$21,4)</formula>
    </cfRule>
  </conditionalFormatting>
  <dataValidations count="1">
    <dataValidation type="decimal" allowBlank="1" showErrorMessage="1" error="Only input your answer to four decimal places. Do not include any workings" sqref="E5:E9 E11:E16 E18:E21" xr:uid="{00000000-0002-0000-0F00-000000000000}">
      <formula1>-999999999999</formula1>
      <formula2>999999999999</formula2>
    </dataValidation>
  </dataValidations>
  <pageMargins left="0.7" right="0.7" top="0.75" bottom="0.75" header="0.3" footer="0.3"/>
  <pageSetup paperSize="9" orientation="portrait" r:id="rId1"/>
  <cellWatches>
    <cellWatch r="A2"/>
  </cellWatch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B1:K39"/>
  <sheetViews>
    <sheetView zoomScale="85" zoomScaleNormal="85" workbookViewId="0">
      <selection activeCell="K8" sqref="K8"/>
    </sheetView>
  </sheetViews>
  <sheetFormatPr defaultColWidth="8.85546875" defaultRowHeight="15" x14ac:dyDescent="0.25"/>
  <cols>
    <col min="1" max="1" width="2.7109375" style="1" customWidth="1"/>
    <col min="2" max="2" width="44.7109375" style="1" bestFit="1" customWidth="1"/>
    <col min="3" max="8" width="19.140625" style="1" customWidth="1"/>
    <col min="9" max="9" width="19.140625" style="7" customWidth="1"/>
    <col min="10" max="16384" width="8.85546875" style="1"/>
  </cols>
  <sheetData>
    <row r="1" spans="2:11" ht="18.75" x14ac:dyDescent="0.3">
      <c r="B1" s="368" t="str">
        <f>IF('Business Setup'!F3="","UNNAMED",'Business Setup'!F3)</f>
        <v>UNNAMED</v>
      </c>
      <c r="C1" s="368"/>
      <c r="D1" s="368"/>
      <c r="E1" s="368"/>
      <c r="F1" s="368"/>
      <c r="G1" s="368"/>
      <c r="H1" s="368"/>
      <c r="I1" s="368"/>
    </row>
    <row r="2" spans="2:11" ht="18.75" x14ac:dyDescent="0.3">
      <c r="B2" s="368" t="s">
        <v>0</v>
      </c>
      <c r="C2" s="368"/>
      <c r="D2" s="368"/>
      <c r="E2" s="368"/>
      <c r="F2" s="368"/>
      <c r="G2" s="368"/>
      <c r="H2" s="368"/>
      <c r="I2" s="368"/>
    </row>
    <row r="3" spans="2:11" ht="18.75" x14ac:dyDescent="0.3">
      <c r="B3" s="368" t="s">
        <v>324</v>
      </c>
      <c r="C3" s="368"/>
      <c r="D3" s="368"/>
      <c r="E3" s="368"/>
      <c r="F3" s="368"/>
      <c r="G3" s="368"/>
      <c r="H3" s="368"/>
      <c r="I3" s="368"/>
    </row>
    <row r="4" spans="2:11" x14ac:dyDescent="0.25">
      <c r="B4" s="349"/>
      <c r="C4" s="349"/>
      <c r="D4" s="349"/>
      <c r="E4" s="349"/>
      <c r="F4" s="349"/>
      <c r="G4" s="349"/>
      <c r="H4" s="349"/>
      <c r="I4" s="349"/>
    </row>
    <row r="5" spans="2:11" x14ac:dyDescent="0.25">
      <c r="C5" s="19" t="s">
        <v>1</v>
      </c>
      <c r="D5" s="19" t="s">
        <v>2</v>
      </c>
      <c r="E5" s="19" t="s">
        <v>3</v>
      </c>
      <c r="F5" s="19" t="s">
        <v>4</v>
      </c>
      <c r="G5" s="19" t="s">
        <v>5</v>
      </c>
      <c r="H5" s="19" t="s">
        <v>6</v>
      </c>
      <c r="I5" s="19" t="s">
        <v>27</v>
      </c>
    </row>
    <row r="6" spans="2:11" ht="15.75" x14ac:dyDescent="0.25">
      <c r="B6" s="109" t="s">
        <v>13</v>
      </c>
      <c r="C6" s="128" t="s">
        <v>38</v>
      </c>
      <c r="D6" s="128" t="s">
        <v>38</v>
      </c>
      <c r="E6" s="128" t="s">
        <v>38</v>
      </c>
      <c r="F6" s="128" t="s">
        <v>38</v>
      </c>
      <c r="G6" s="128" t="s">
        <v>38</v>
      </c>
      <c r="H6" s="128" t="s">
        <v>38</v>
      </c>
      <c r="I6" s="128" t="s">
        <v>38</v>
      </c>
    </row>
    <row r="7" spans="2:11" x14ac:dyDescent="0.25">
      <c r="B7" s="20" t="str">
        <f>"Cash Sales ("&amp;'(HIDE) Data Validation'!A7&amp;")"</f>
        <v>Cash Sales (Burgers)</v>
      </c>
      <c r="C7" s="95">
        <f>'(HIDE) Data Validation'!AB42</f>
        <v>180887</v>
      </c>
      <c r="D7" s="95">
        <f>'(HIDE) Data Validation'!AC42</f>
        <v>193340</v>
      </c>
      <c r="E7" s="95">
        <f>'(HIDE) Data Validation'!AD42</f>
        <v>164640</v>
      </c>
      <c r="F7" s="95">
        <f>'(HIDE) Data Validation'!AE42</f>
        <v>207851</v>
      </c>
      <c r="G7" s="95">
        <f>'(HIDE) Data Validation'!AF42</f>
        <v>220185</v>
      </c>
      <c r="H7" s="95">
        <f>'(HIDE) Data Validation'!AG42</f>
        <v>169092</v>
      </c>
      <c r="I7" s="96">
        <f>SUM(C7:H7)</f>
        <v>1135995</v>
      </c>
    </row>
    <row r="8" spans="2:11" x14ac:dyDescent="0.25">
      <c r="B8" s="104" t="str">
        <f>"Credit Sales ("&amp;'(HIDE) Data Validation'!A7&amp;")"</f>
        <v>Credit Sales (Burgers)</v>
      </c>
      <c r="C8" s="105">
        <f>'(HIDE) Data Validation'!AB43</f>
        <v>118902</v>
      </c>
      <c r="D8" s="105">
        <f>'(HIDE) Data Validation'!AC43</f>
        <v>77523</v>
      </c>
      <c r="E8" s="105">
        <f>'(HIDE) Data Validation'!AD43</f>
        <v>82860</v>
      </c>
      <c r="F8" s="105">
        <f>'(HIDE) Data Validation'!AE43</f>
        <v>70560</v>
      </c>
      <c r="G8" s="105">
        <f>'(HIDE) Data Validation'!AF43</f>
        <v>89079</v>
      </c>
      <c r="H8" s="105">
        <f>'(HIDE) Data Validation'!AG43</f>
        <v>94365</v>
      </c>
      <c r="I8" s="106">
        <f>SUM(C8:H8)</f>
        <v>533289</v>
      </c>
      <c r="K8" s="158"/>
    </row>
    <row r="9" spans="2:11" x14ac:dyDescent="0.25">
      <c r="B9" s="20" t="str">
        <f>"Cash Sales ("&amp;'(HIDE) Data Validation'!B42&amp;")"</f>
        <v>Cash Sales (Hot Chips)</v>
      </c>
      <c r="C9" s="95">
        <f>'(HIDE) Data Validation'!AB44</f>
        <v>36705.199999999997</v>
      </c>
      <c r="D9" s="95">
        <f>'(HIDE) Data Validation'!AC44</f>
        <v>39233.599999999999</v>
      </c>
      <c r="E9" s="95">
        <f>'(HIDE) Data Validation'!AD44</f>
        <v>33409.599999999999</v>
      </c>
      <c r="F9" s="95">
        <f>'(HIDE) Data Validation'!AE44</f>
        <v>42176.399999999994</v>
      </c>
      <c r="G9" s="95">
        <f>'(HIDE) Data Validation'!AF44</f>
        <v>44679.6</v>
      </c>
      <c r="H9" s="95">
        <f>'(HIDE) Data Validation'!AG44</f>
        <v>34311.199999999997</v>
      </c>
      <c r="I9" s="96">
        <f>SUM(C9:H9)</f>
        <v>230515.59999999998</v>
      </c>
    </row>
    <row r="10" spans="2:11" x14ac:dyDescent="0.25">
      <c r="B10" s="104" t="str">
        <f>"Credit Sales ("&amp;'(HIDE) Data Validation'!B42&amp;")"</f>
        <v>Credit Sales (Hot Chips)</v>
      </c>
      <c r="C10" s="105">
        <f>'(HIDE) Data Validation'!AB45</f>
        <v>24127.200000000001</v>
      </c>
      <c r="D10" s="105">
        <f>'(HIDE) Data Validation'!AC45</f>
        <v>15730.8</v>
      </c>
      <c r="E10" s="105">
        <f>'(HIDE) Data Validation'!AD45</f>
        <v>16814.399999999998</v>
      </c>
      <c r="F10" s="105">
        <f>'(HIDE) Data Validation'!AE45</f>
        <v>14318.4</v>
      </c>
      <c r="G10" s="105">
        <f>'(HIDE) Data Validation'!AF45</f>
        <v>18075.599999999999</v>
      </c>
      <c r="H10" s="105">
        <f>'(HIDE) Data Validation'!AG45</f>
        <v>19148.399999999998</v>
      </c>
      <c r="I10" s="106">
        <f>SUM(C10:H10)</f>
        <v>108214.79999999999</v>
      </c>
    </row>
    <row r="11" spans="2:11" x14ac:dyDescent="0.25">
      <c r="B11" s="20" t="s">
        <v>683</v>
      </c>
      <c r="C11" s="95">
        <f>'(HIDE) Data Validation'!Z124</f>
        <v>0</v>
      </c>
      <c r="D11" s="95">
        <f>'(HIDE) Data Validation'!AA124</f>
        <v>0</v>
      </c>
      <c r="E11" s="95">
        <f>'(HIDE) Data Validation'!AB124</f>
        <v>0</v>
      </c>
      <c r="F11" s="95">
        <f>'(HIDE) Data Validation'!AC124</f>
        <v>0</v>
      </c>
      <c r="G11" s="95">
        <f>'(HIDE) Data Validation'!AD124</f>
        <v>0</v>
      </c>
      <c r="H11" s="95">
        <f>'(HIDE) Data Validation'!AE124</f>
        <v>0</v>
      </c>
      <c r="I11" s="96">
        <f>SUM(C11:H11)</f>
        <v>0</v>
      </c>
    </row>
    <row r="12" spans="2:11" x14ac:dyDescent="0.25">
      <c r="B12" s="104"/>
      <c r="C12" s="105"/>
      <c r="D12" s="105"/>
      <c r="E12" s="105"/>
      <c r="F12" s="105"/>
      <c r="G12" s="105"/>
      <c r="H12" s="105"/>
      <c r="I12" s="106"/>
    </row>
    <row r="13" spans="2:11" s="7" customFormat="1" ht="15.75" x14ac:dyDescent="0.25">
      <c r="B13" s="21" t="s">
        <v>15</v>
      </c>
      <c r="C13" s="97">
        <f t="shared" ref="C13:H13" si="0">SUM(C7:C12)</f>
        <v>360621.4</v>
      </c>
      <c r="D13" s="97">
        <f t="shared" si="0"/>
        <v>325827.39999999997</v>
      </c>
      <c r="E13" s="97">
        <f t="shared" si="0"/>
        <v>297724</v>
      </c>
      <c r="F13" s="97">
        <f t="shared" si="0"/>
        <v>334905.80000000005</v>
      </c>
      <c r="G13" s="97">
        <f t="shared" si="0"/>
        <v>372019.19999999995</v>
      </c>
      <c r="H13" s="97">
        <f t="shared" si="0"/>
        <v>316916.60000000003</v>
      </c>
      <c r="I13" s="97">
        <f>SUM(C13:H13)</f>
        <v>2008014.4000000001</v>
      </c>
    </row>
    <row r="14" spans="2:11" x14ac:dyDescent="0.25">
      <c r="B14" s="110"/>
      <c r="C14" s="105"/>
      <c r="D14" s="105"/>
      <c r="E14" s="105"/>
      <c r="F14" s="105"/>
      <c r="G14" s="105"/>
      <c r="H14" s="105"/>
      <c r="I14" s="106"/>
    </row>
    <row r="15" spans="2:11" ht="15.75" x14ac:dyDescent="0.25">
      <c r="B15" s="21" t="s">
        <v>16</v>
      </c>
      <c r="C15" s="95"/>
      <c r="D15" s="95"/>
      <c r="E15" s="95"/>
      <c r="F15" s="95"/>
      <c r="G15" s="95"/>
      <c r="H15" s="95"/>
      <c r="I15" s="96"/>
    </row>
    <row r="16" spans="2:11" x14ac:dyDescent="0.25">
      <c r="B16" s="104" t="str">
        <f>"Food Purchases ("&amp;'(HIDE) Data Validation'!A7&amp;")"</f>
        <v>Food Purchases (Burgers)</v>
      </c>
      <c r="C16" s="105">
        <f>'(HIDE) Data Validation'!AB19</f>
        <v>105143</v>
      </c>
      <c r="D16" s="105">
        <f>'(HIDE) Data Validation'!AC19</f>
        <v>106380</v>
      </c>
      <c r="E16" s="105">
        <f>'(HIDE) Data Validation'!AD19</f>
        <v>100253</v>
      </c>
      <c r="F16" s="105">
        <f>'(HIDE) Data Validation'!AE19</f>
        <v>120534</v>
      </c>
      <c r="G16" s="105">
        <f>'(HIDE) Data Validation'!AF19</f>
        <v>118521</v>
      </c>
      <c r="H16" s="105">
        <f>'(HIDE) Data Validation'!AG19</f>
        <v>102876</v>
      </c>
      <c r="I16" s="106">
        <f t="shared" ref="I16:I31" si="1">SUM(C16:H16)</f>
        <v>653707</v>
      </c>
    </row>
    <row r="17" spans="2:9" x14ac:dyDescent="0.25">
      <c r="B17" s="20" t="str">
        <f>"Food Purchases ("&amp;'(HIDE) Data Validation'!B42&amp;")"</f>
        <v>Food Purchases (Hot Chips)</v>
      </c>
      <c r="C17" s="95">
        <f>'(HIDE) Data Validation'!AB30</f>
        <v>18352.599999999999</v>
      </c>
      <c r="D17" s="95">
        <f>'(HIDE) Data Validation'!AC30</f>
        <v>19616.8</v>
      </c>
      <c r="E17" s="95">
        <f>'(HIDE) Data Validation'!AD30</f>
        <v>16704.8</v>
      </c>
      <c r="F17" s="95">
        <f>'(HIDE) Data Validation'!AE30</f>
        <v>21088.199999999997</v>
      </c>
      <c r="G17" s="95">
        <f>'(HIDE) Data Validation'!AF30</f>
        <v>22339.8</v>
      </c>
      <c r="H17" s="95">
        <f>'(HIDE) Data Validation'!AG30</f>
        <v>17155.599999999999</v>
      </c>
      <c r="I17" s="96">
        <f t="shared" si="1"/>
        <v>115257.79999999999</v>
      </c>
    </row>
    <row r="18" spans="2:9" x14ac:dyDescent="0.25">
      <c r="B18" s="104" t="s">
        <v>314</v>
      </c>
      <c r="C18" s="105">
        <f>'(HIDE) Data Validation'!AB67</f>
        <v>1086</v>
      </c>
      <c r="D18" s="105">
        <f>'(HIDE) Data Validation'!AC67</f>
        <v>1161</v>
      </c>
      <c r="E18" s="105">
        <f>'(HIDE) Data Validation'!AD67</f>
        <v>989</v>
      </c>
      <c r="F18" s="105">
        <f>'(HIDE) Data Validation'!AE67</f>
        <v>1248</v>
      </c>
      <c r="G18" s="105">
        <f>'(HIDE) Data Validation'!AF67</f>
        <v>1322</v>
      </c>
      <c r="H18" s="105">
        <f>'(HIDE) Data Validation'!AG67</f>
        <v>1015</v>
      </c>
      <c r="I18" s="106">
        <f t="shared" si="1"/>
        <v>6821</v>
      </c>
    </row>
    <row r="19" spans="2:9" x14ac:dyDescent="0.25">
      <c r="B19" s="20" t="s">
        <v>17</v>
      </c>
      <c r="C19" s="95">
        <f>'(HIDE) Data Validation'!$H$13</f>
        <v>28000</v>
      </c>
      <c r="D19" s="95">
        <f>'(HIDE) Data Validation'!$H$13</f>
        <v>28000</v>
      </c>
      <c r="E19" s="95">
        <f>'(HIDE) Data Validation'!$H$13</f>
        <v>28000</v>
      </c>
      <c r="F19" s="95">
        <f>'(HIDE) Data Validation'!$H$13</f>
        <v>28000</v>
      </c>
      <c r="G19" s="95">
        <f>'(HIDE) Data Validation'!$H$13</f>
        <v>28000</v>
      </c>
      <c r="H19" s="95">
        <f>'(HIDE) Data Validation'!$H$13</f>
        <v>28000</v>
      </c>
      <c r="I19" s="96">
        <f t="shared" si="1"/>
        <v>168000</v>
      </c>
    </row>
    <row r="20" spans="2:9" x14ac:dyDescent="0.25">
      <c r="B20" s="104" t="s">
        <v>18</v>
      </c>
      <c r="C20" s="105">
        <f>'(HIDE) Data Validation'!AB24</f>
        <v>8400</v>
      </c>
      <c r="D20" s="105">
        <f>'(HIDE) Data Validation'!AC24</f>
        <v>8400</v>
      </c>
      <c r="E20" s="105">
        <f>'(HIDE) Data Validation'!AD24</f>
        <v>8400</v>
      </c>
      <c r="F20" s="105">
        <f>'(HIDE) Data Validation'!AE24</f>
        <v>8400</v>
      </c>
      <c r="G20" s="105">
        <f>'(HIDE) Data Validation'!AF24</f>
        <v>8400</v>
      </c>
      <c r="H20" s="105">
        <f>'(HIDE) Data Validation'!AG24</f>
        <v>8400</v>
      </c>
      <c r="I20" s="106">
        <f t="shared" si="1"/>
        <v>50400</v>
      </c>
    </row>
    <row r="21" spans="2:9" x14ac:dyDescent="0.25">
      <c r="B21" s="20" t="s">
        <v>19</v>
      </c>
      <c r="C21" s="95">
        <v>300</v>
      </c>
      <c r="D21" s="95">
        <v>300</v>
      </c>
      <c r="E21" s="95">
        <v>300</v>
      </c>
      <c r="F21" s="95">
        <v>300</v>
      </c>
      <c r="G21" s="95">
        <v>300</v>
      </c>
      <c r="H21" s="95">
        <v>300</v>
      </c>
      <c r="I21" s="96">
        <f t="shared" si="1"/>
        <v>1800</v>
      </c>
    </row>
    <row r="22" spans="2:9" x14ac:dyDescent="0.25">
      <c r="B22" s="104" t="s">
        <v>28</v>
      </c>
      <c r="C22" s="105">
        <f>'(HIDE) Data Validation'!$J$3</f>
        <v>5000</v>
      </c>
      <c r="D22" s="105">
        <f>'(HIDE) Data Validation'!$J$3</f>
        <v>5000</v>
      </c>
      <c r="E22" s="105">
        <f>'(HIDE) Data Validation'!$J$3</f>
        <v>5000</v>
      </c>
      <c r="F22" s="105">
        <f>'(HIDE) Data Validation'!$J$3</f>
        <v>5000</v>
      </c>
      <c r="G22" s="105">
        <f>'(HIDE) Data Validation'!$J$3</f>
        <v>5000</v>
      </c>
      <c r="H22" s="105">
        <f>'(HIDE) Data Validation'!$J$3</f>
        <v>5000</v>
      </c>
      <c r="I22" s="106">
        <f t="shared" si="1"/>
        <v>30000</v>
      </c>
    </row>
    <row r="23" spans="2:9" x14ac:dyDescent="0.25">
      <c r="B23" s="20" t="s">
        <v>20</v>
      </c>
      <c r="C23" s="95">
        <v>6800</v>
      </c>
      <c r="D23" s="95">
        <v>6800</v>
      </c>
      <c r="E23" s="95">
        <v>6800</v>
      </c>
      <c r="F23" s="95">
        <v>6800</v>
      </c>
      <c r="G23" s="95">
        <v>6800</v>
      </c>
      <c r="H23" s="95">
        <v>6800</v>
      </c>
      <c r="I23" s="96">
        <f t="shared" si="1"/>
        <v>40800</v>
      </c>
    </row>
    <row r="24" spans="2:9" x14ac:dyDescent="0.25">
      <c r="B24" s="104" t="s">
        <v>21</v>
      </c>
      <c r="C24" s="105">
        <f>'(HIDE) Data Validation'!Z17</f>
        <v>122880</v>
      </c>
      <c r="D24" s="105">
        <f>'(HIDE) Data Validation'!AB17</f>
        <v>87040</v>
      </c>
      <c r="E24" s="105">
        <f>'(HIDE) Data Validation'!AC17</f>
        <v>92160</v>
      </c>
      <c r="F24" s="105">
        <f>'(HIDE) Data Validation'!AD17</f>
        <v>71680</v>
      </c>
      <c r="G24" s="105">
        <f>'(HIDE) Data Validation'!AE17</f>
        <v>92160</v>
      </c>
      <c r="H24" s="105">
        <f>'(HIDE) Data Validation'!AF17</f>
        <v>97280</v>
      </c>
      <c r="I24" s="106">
        <f>SUM(D24:H24)</f>
        <v>440320</v>
      </c>
    </row>
    <row r="25" spans="2:9" x14ac:dyDescent="0.25">
      <c r="B25" s="20" t="s">
        <v>22</v>
      </c>
      <c r="C25" s="95">
        <f>'(HIDE) Data Validation'!Z126</f>
        <v>3366.45</v>
      </c>
      <c r="D25" s="95">
        <f>'(HIDE) Data Validation'!AA126</f>
        <v>3366.45</v>
      </c>
      <c r="E25" s="95">
        <f>'(HIDE) Data Validation'!AB126</f>
        <v>3366.45</v>
      </c>
      <c r="F25" s="95">
        <f>'(HIDE) Data Validation'!AC126</f>
        <v>3366.45</v>
      </c>
      <c r="G25" s="95">
        <f>'(HIDE) Data Validation'!AD126</f>
        <v>3366.45</v>
      </c>
      <c r="H25" s="95">
        <f>'(HIDE) Data Validation'!AE126</f>
        <v>3366.45</v>
      </c>
      <c r="I25" s="96">
        <f t="shared" si="1"/>
        <v>20198.7</v>
      </c>
    </row>
    <row r="26" spans="2:9" x14ac:dyDescent="0.25">
      <c r="B26" s="104" t="s">
        <v>529</v>
      </c>
      <c r="C26" s="105">
        <f>'(HIDE) Data Validation'!AB50</f>
        <v>0</v>
      </c>
      <c r="D26" s="105">
        <f>'(HIDE) Data Validation'!AC50</f>
        <v>0</v>
      </c>
      <c r="E26" s="105">
        <f>'(HIDE) Data Validation'!AD50</f>
        <v>0</v>
      </c>
      <c r="F26" s="105">
        <f>'(HIDE) Data Validation'!AE50</f>
        <v>0</v>
      </c>
      <c r="G26" s="105">
        <f>'(HIDE) Data Validation'!AF50</f>
        <v>0</v>
      </c>
      <c r="H26" s="105">
        <f>'(HIDE) Data Validation'!AG50</f>
        <v>0</v>
      </c>
      <c r="I26" s="106">
        <f t="shared" si="1"/>
        <v>0</v>
      </c>
    </row>
    <row r="27" spans="2:9" x14ac:dyDescent="0.25">
      <c r="B27" s="20" t="s">
        <v>528</v>
      </c>
      <c r="C27" s="95">
        <f>'(HIDE) Data Validation'!AB36</f>
        <v>0</v>
      </c>
      <c r="D27" s="95">
        <f>'(HIDE) Data Validation'!AC36</f>
        <v>0</v>
      </c>
      <c r="E27" s="95">
        <f>'(HIDE) Data Validation'!AD36</f>
        <v>0</v>
      </c>
      <c r="F27" s="95">
        <f>'(HIDE) Data Validation'!AE36</f>
        <v>0</v>
      </c>
      <c r="G27" s="95">
        <f>'(HIDE) Data Validation'!AF36</f>
        <v>0</v>
      </c>
      <c r="H27" s="95">
        <f>'(HIDE) Data Validation'!AG36</f>
        <v>0</v>
      </c>
      <c r="I27" s="96">
        <f t="shared" si="1"/>
        <v>0</v>
      </c>
    </row>
    <row r="28" spans="2:9" x14ac:dyDescent="0.25">
      <c r="B28" s="104" t="s">
        <v>148</v>
      </c>
      <c r="C28" s="105" t="str">
        <f>'(HIDE) Data Validation'!$B$16</f>
        <v/>
      </c>
      <c r="D28" s="105" t="str">
        <f>'(HIDE) Data Validation'!$B$16</f>
        <v/>
      </c>
      <c r="E28" s="105" t="str">
        <f>'(HIDE) Data Validation'!$B$16</f>
        <v/>
      </c>
      <c r="F28" s="105" t="str">
        <f>'(HIDE) Data Validation'!$B$16</f>
        <v/>
      </c>
      <c r="G28" s="105" t="str">
        <f>'(HIDE) Data Validation'!$B$16</f>
        <v/>
      </c>
      <c r="H28" s="105" t="str">
        <f>'(HIDE) Data Validation'!$B$16</f>
        <v/>
      </c>
      <c r="I28" s="106">
        <f t="shared" si="1"/>
        <v>0</v>
      </c>
    </row>
    <row r="29" spans="2:9" x14ac:dyDescent="0.25">
      <c r="B29" s="20" t="str">
        <f>'(HIDE) Data Validation'!K54</f>
        <v/>
      </c>
      <c r="C29" s="95" t="str">
        <f>'(HIDE) Data Validation'!AB65</f>
        <v/>
      </c>
      <c r="D29" s="95" t="str">
        <f>'(HIDE) Data Validation'!AC65</f>
        <v/>
      </c>
      <c r="E29" s="95" t="str">
        <f>'(HIDE) Data Validation'!AD65</f>
        <v/>
      </c>
      <c r="F29" s="95" t="str">
        <f>'(HIDE) Data Validation'!AE65</f>
        <v/>
      </c>
      <c r="G29" s="95" t="str">
        <f>'(HIDE) Data Validation'!AF65</f>
        <v/>
      </c>
      <c r="H29" s="95" t="str">
        <f>'(HIDE) Data Validation'!AG65</f>
        <v/>
      </c>
      <c r="I29" s="96">
        <f t="shared" si="1"/>
        <v>0</v>
      </c>
    </row>
    <row r="30" spans="2:9" x14ac:dyDescent="0.25">
      <c r="B30" s="104"/>
      <c r="C30" s="105"/>
      <c r="D30" s="105"/>
      <c r="E30" s="105"/>
      <c r="F30" s="105"/>
      <c r="G30" s="105"/>
      <c r="H30" s="105"/>
      <c r="I30" s="106">
        <f t="shared" si="1"/>
        <v>0</v>
      </c>
    </row>
    <row r="31" spans="2:9" s="7" customFormat="1" ht="15.75" x14ac:dyDescent="0.25">
      <c r="B31" s="21" t="s">
        <v>23</v>
      </c>
      <c r="C31" s="97">
        <f t="shared" ref="C31:H31" si="2">SUM(C16:C29)</f>
        <v>299328.05</v>
      </c>
      <c r="D31" s="97">
        <f t="shared" si="2"/>
        <v>266064.25</v>
      </c>
      <c r="E31" s="97">
        <f t="shared" si="2"/>
        <v>261973.25</v>
      </c>
      <c r="F31" s="97">
        <f t="shared" si="2"/>
        <v>266416.65000000002</v>
      </c>
      <c r="G31" s="97">
        <f t="shared" si="2"/>
        <v>286209.25</v>
      </c>
      <c r="H31" s="97">
        <f t="shared" si="2"/>
        <v>270193.05</v>
      </c>
      <c r="I31" s="97">
        <f t="shared" si="1"/>
        <v>1650184.5000000002</v>
      </c>
    </row>
    <row r="32" spans="2:9" x14ac:dyDescent="0.25">
      <c r="B32" s="110"/>
      <c r="C32" s="105"/>
      <c r="D32" s="105"/>
      <c r="E32" s="105"/>
      <c r="F32" s="105"/>
      <c r="G32" s="105"/>
      <c r="H32" s="105"/>
      <c r="I32" s="106"/>
    </row>
    <row r="33" spans="2:9" x14ac:dyDescent="0.25">
      <c r="B33" s="22" t="s">
        <v>24</v>
      </c>
      <c r="C33" s="95">
        <f t="shared" ref="C33:H33" si="3">C13-C31</f>
        <v>61293.350000000035</v>
      </c>
      <c r="D33" s="95">
        <f t="shared" si="3"/>
        <v>59763.149999999965</v>
      </c>
      <c r="E33" s="95">
        <f t="shared" si="3"/>
        <v>35750.75</v>
      </c>
      <c r="F33" s="95">
        <f t="shared" si="3"/>
        <v>68489.150000000023</v>
      </c>
      <c r="G33" s="95">
        <f t="shared" si="3"/>
        <v>85809.949999999953</v>
      </c>
      <c r="H33" s="95">
        <f t="shared" si="3"/>
        <v>46723.550000000047</v>
      </c>
      <c r="I33" s="96">
        <f>SUM(C33:H33)</f>
        <v>357829.9</v>
      </c>
    </row>
    <row r="34" spans="2:9" x14ac:dyDescent="0.25">
      <c r="B34" s="110"/>
      <c r="C34" s="105"/>
      <c r="D34" s="105"/>
      <c r="E34" s="105"/>
      <c r="F34" s="105"/>
      <c r="G34" s="105"/>
      <c r="H34" s="105"/>
      <c r="I34" s="106"/>
    </row>
    <row r="35" spans="2:9" x14ac:dyDescent="0.25">
      <c r="B35" s="10" t="s">
        <v>25</v>
      </c>
      <c r="C35" s="95">
        <f>'2019 Full Cash Budget'!O40</f>
        <v>282733.35999999993</v>
      </c>
      <c r="D35" s="95">
        <f>C37</f>
        <v>344026.70999999996</v>
      </c>
      <c r="E35" s="95">
        <f>D37</f>
        <v>403789.85999999993</v>
      </c>
      <c r="F35" s="95">
        <f>E37</f>
        <v>439540.60999999993</v>
      </c>
      <c r="G35" s="95">
        <f>F37</f>
        <v>508029.75999999995</v>
      </c>
      <c r="H35" s="95">
        <f>G37</f>
        <v>593839.71</v>
      </c>
      <c r="I35" s="96">
        <f>C35</f>
        <v>282733.35999999993</v>
      </c>
    </row>
    <row r="36" spans="2:9" x14ac:dyDescent="0.25">
      <c r="B36" s="110"/>
      <c r="C36" s="105"/>
      <c r="D36" s="105"/>
      <c r="E36" s="105"/>
      <c r="F36" s="105"/>
      <c r="G36" s="105"/>
      <c r="H36" s="105"/>
      <c r="I36" s="106"/>
    </row>
    <row r="37" spans="2:9" x14ac:dyDescent="0.25">
      <c r="B37" s="23" t="s">
        <v>26</v>
      </c>
      <c r="C37" s="98">
        <f t="shared" ref="C37:H37" si="4">C35+C33</f>
        <v>344026.70999999996</v>
      </c>
      <c r="D37" s="98">
        <f t="shared" si="4"/>
        <v>403789.85999999993</v>
      </c>
      <c r="E37" s="98">
        <f t="shared" si="4"/>
        <v>439540.60999999993</v>
      </c>
      <c r="F37" s="98">
        <f t="shared" si="4"/>
        <v>508029.75999999995</v>
      </c>
      <c r="G37" s="98">
        <f t="shared" si="4"/>
        <v>593839.71</v>
      </c>
      <c r="H37" s="98">
        <f t="shared" si="4"/>
        <v>640563.26</v>
      </c>
      <c r="I37" s="99">
        <f>H37</f>
        <v>640563.26</v>
      </c>
    </row>
    <row r="39" spans="2:9" ht="26.25" x14ac:dyDescent="0.4">
      <c r="B39" s="369" t="str">
        <f>IF('(HIDE) Data Validation'!B26=0,"","YOU HAVE NOT YET RAISED ENOUGH CAPITAL. YOU STILL NEED $"&amp;TEXT('(HIDE) Data Validation'!B26,"#,##0;;@"))</f>
        <v>YOU HAVE NOT YET RAISED ENOUGH CAPITAL. YOU STILL NEED $275,865</v>
      </c>
      <c r="C39" s="369"/>
      <c r="D39" s="369"/>
      <c r="E39" s="369"/>
      <c r="F39" s="369"/>
      <c r="G39" s="369"/>
      <c r="H39" s="369"/>
      <c r="I39" s="369"/>
    </row>
  </sheetData>
  <sheetProtection password="DBEB" sheet="1" objects="1" scenarios="1" formatColumns="0" formatRows="0" selectLockedCells="1"/>
  <mergeCells count="5">
    <mergeCell ref="B1:I1"/>
    <mergeCell ref="B2:I2"/>
    <mergeCell ref="B3:I3"/>
    <mergeCell ref="B4:I4"/>
    <mergeCell ref="B39:I39"/>
  </mergeCells>
  <pageMargins left="0.7" right="0.7" top="0.75" bottom="0.75" header="0.3" footer="0.3"/>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B8:P21"/>
  <sheetViews>
    <sheetView workbookViewId="0">
      <selection activeCell="E8" sqref="E8"/>
    </sheetView>
  </sheetViews>
  <sheetFormatPr defaultColWidth="8.85546875" defaultRowHeight="15" x14ac:dyDescent="0.25"/>
  <cols>
    <col min="1" max="16384" width="8.85546875" style="1"/>
  </cols>
  <sheetData>
    <row r="8" spans="5:5" x14ac:dyDescent="0.25">
      <c r="E8" s="158" t="s">
        <v>514</v>
      </c>
    </row>
    <row r="20" spans="2:16" x14ac:dyDescent="0.25">
      <c r="H20" s="63" t="s">
        <v>332</v>
      </c>
    </row>
    <row r="21" spans="2:16" s="42" customFormat="1" ht="191.85" customHeight="1" x14ac:dyDescent="0.3">
      <c r="B21" s="409" t="str">
        <f>"It is the beginning of March. A new virus has been spreading rapidly around the world. Scientists have given it the designation (SARS-Cov-2) or (COVID-19)."&amp;" The government has declared it a pandemic and has imposed lockdowns and social distancing. The restrictions will affect "&amp;IF('Business Setup'!F3="","UNNAMED",'Business Setup'!F3)&amp;".
You will no longer be able to sell "&amp;'(HIDE) Data Validation'!A7&amp;" face-to-face and will need to make some tough decisions in regards to how you will operate during these times. These decisions will affect not only you and your business, but your employees and their livelihoods too."&amp;" As you make your decisions in the next few tabs you will be able to see how it will affect your bottom line. Feel free to go between tabs to mix and match your choices"</f>
        <v>It is the beginning of March. A new virus has been spreading rapidly around the world. Scientists have given it the designation (SARS-Cov-2) or (COVID-19). The government has declared it a pandemic and has imposed lockdowns and social distancing. The restrictions will affect UNNAMED.
You will no longer be able to sell Burgers face-to-face and will need to make some tough decisions in regards to how you will operate during these times. These decisions will affect not only you and your business, but your employees and their livelihoods too. As you make your decisions in the next few tabs you will be able to see how it will affect your bottom line. Feel free to go between tabs to mix and match your choices</v>
      </c>
      <c r="C21" s="409"/>
      <c r="D21" s="409"/>
      <c r="E21" s="409"/>
      <c r="F21" s="409"/>
      <c r="G21" s="409"/>
      <c r="H21" s="409"/>
      <c r="I21" s="409"/>
      <c r="J21" s="409"/>
      <c r="K21" s="409"/>
      <c r="L21" s="409"/>
      <c r="M21" s="409"/>
      <c r="N21" s="409"/>
      <c r="O21" s="409"/>
      <c r="P21" s="409"/>
    </row>
  </sheetData>
  <sheetProtection password="DBEB" sheet="1" objects="1" scenarios="1" formatColumns="0" formatRows="0" selectLockedCells="1"/>
  <mergeCells count="1">
    <mergeCell ref="B21:P21"/>
  </mergeCells>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B1:R32"/>
  <sheetViews>
    <sheetView zoomScaleNormal="100" workbookViewId="0">
      <selection activeCell="R17" sqref="R17"/>
    </sheetView>
  </sheetViews>
  <sheetFormatPr defaultColWidth="8.85546875" defaultRowHeight="15" x14ac:dyDescent="0.25"/>
  <cols>
    <col min="1" max="6" width="8.85546875" style="1"/>
    <col min="7" max="7" width="13.28515625" style="1" customWidth="1"/>
    <col min="8" max="14" width="8.85546875" style="1"/>
    <col min="15" max="15" width="15.85546875" style="1" customWidth="1"/>
    <col min="16" max="16384" width="8.85546875" style="1"/>
  </cols>
  <sheetData>
    <row r="1" spans="2:17" ht="52.7" customHeight="1" x14ac:dyDescent="0.25"/>
    <row r="3" spans="2:17" ht="55.7" customHeight="1" x14ac:dyDescent="0.25">
      <c r="B3" s="410" t="str">
        <f>"Due to the pandemic and government restrictions in place "&amp;IF('Business Setup'!F3="","UNNAMED",'Business Setup'!F3)&amp;" must now decide how they will continue to operate through these restrictive times. Previously, "&amp;IF('Business Setup'!F3="","UNNAMED",'Business Setup'!F3)&amp;" had decided "&amp;'(HIDE) Data Validation'!J47&amp;". You will be given a chance to change it now. You have the following options to choose from:"</f>
        <v>Due to the pandemic and government restrictions in place UNNAMED must now decide how they will continue to operate through these restrictive times. Previously, UNNAMED had decided to not deliver. You will be given a chance to change it now. You have the following options to choose from:</v>
      </c>
      <c r="C3" s="410"/>
      <c r="D3" s="410"/>
      <c r="E3" s="410"/>
      <c r="F3" s="410"/>
      <c r="G3" s="410"/>
      <c r="H3" s="410"/>
      <c r="I3" s="410"/>
      <c r="J3" s="410"/>
      <c r="K3" s="410"/>
      <c r="L3" s="410"/>
      <c r="M3" s="410"/>
      <c r="N3" s="410"/>
      <c r="O3" s="410"/>
      <c r="P3" s="410"/>
      <c r="Q3" s="410"/>
    </row>
    <row r="4" spans="2:17" ht="15.75" x14ac:dyDescent="0.25">
      <c r="B4" s="64"/>
    </row>
    <row r="6" spans="2:17" x14ac:dyDescent="0.25">
      <c r="I6" s="3" t="s">
        <v>335</v>
      </c>
    </row>
    <row r="7" spans="2:17" x14ac:dyDescent="0.25">
      <c r="I7" s="3" t="s">
        <v>334</v>
      </c>
    </row>
    <row r="8" spans="2:17" x14ac:dyDescent="0.25">
      <c r="I8" s="3" t="str">
        <f>"Utilities expenses will be reduced by "&amp;'(HIDE) Data Validation'!B66&amp;"% if no Takeaway is offered (Next tab)"</f>
        <v>Utilities expenses will be reduced by 90% if no Takeaway is offered (Next tab)</v>
      </c>
    </row>
    <row r="9" spans="2:17" x14ac:dyDescent="0.25">
      <c r="I9" s="3" t="s">
        <v>336</v>
      </c>
    </row>
    <row r="10" spans="2:17" x14ac:dyDescent="0.25">
      <c r="I10" s="94" t="str">
        <f>IF('(HIDE) Data Validation'!K47=1,"This was your option earlier","")</f>
        <v>This was your option earlier</v>
      </c>
    </row>
    <row r="12" spans="2:17" ht="14.85" customHeight="1" x14ac:dyDescent="0.25">
      <c r="I12" s="3" t="s">
        <v>447</v>
      </c>
      <c r="J12" s="8"/>
      <c r="K12" s="8"/>
      <c r="L12" s="8"/>
      <c r="M12" s="8"/>
      <c r="N12" s="8"/>
      <c r="O12" s="8"/>
      <c r="P12" s="8"/>
      <c r="Q12" s="8"/>
    </row>
    <row r="13" spans="2:17" ht="14.85" customHeight="1" x14ac:dyDescent="0.25">
      <c r="I13" s="3" t="s">
        <v>559</v>
      </c>
      <c r="J13" s="8"/>
      <c r="K13" s="8"/>
      <c r="L13" s="8"/>
      <c r="M13" s="8"/>
      <c r="N13" s="8"/>
      <c r="O13" s="8"/>
      <c r="P13" s="8"/>
      <c r="Q13" s="8"/>
    </row>
    <row r="14" spans="2:17" x14ac:dyDescent="0.25">
      <c r="I14" s="3" t="s">
        <v>355</v>
      </c>
      <c r="J14" s="8"/>
      <c r="K14" s="8"/>
      <c r="L14" s="8"/>
      <c r="M14" s="8"/>
      <c r="N14" s="8"/>
      <c r="O14" s="8"/>
      <c r="P14" s="8"/>
      <c r="Q14" s="8"/>
    </row>
    <row r="15" spans="2:17" x14ac:dyDescent="0.25">
      <c r="I15" s="3" t="s">
        <v>354</v>
      </c>
      <c r="J15" s="8"/>
      <c r="K15" s="8"/>
      <c r="L15" s="8"/>
      <c r="M15" s="8"/>
      <c r="N15" s="8"/>
      <c r="O15" s="8"/>
      <c r="P15" s="8"/>
      <c r="Q15" s="8"/>
    </row>
    <row r="16" spans="2:17" x14ac:dyDescent="0.25">
      <c r="I16" s="3" t="str">
        <f>"Sales will be equal to "&amp;100*'(HIDE) Data Validation'!C60&amp;"% of pre-COVID sales"</f>
        <v>Sales will be equal to 10% of pre-COVID sales</v>
      </c>
      <c r="J16" s="8"/>
      <c r="K16" s="8"/>
      <c r="L16" s="8"/>
      <c r="M16" s="8"/>
      <c r="N16" s="8"/>
      <c r="O16" s="8"/>
      <c r="P16" s="8"/>
      <c r="Q16" s="8"/>
    </row>
    <row r="17" spans="9:18" x14ac:dyDescent="0.25">
      <c r="I17" s="3" t="s">
        <v>340</v>
      </c>
      <c r="J17" s="8"/>
      <c r="K17" s="8"/>
      <c r="L17" s="8"/>
      <c r="M17" s="8"/>
      <c r="N17" s="8"/>
      <c r="O17" s="8"/>
      <c r="P17" s="8"/>
      <c r="Q17" s="8"/>
      <c r="R17" s="158"/>
    </row>
    <row r="18" spans="9:18" x14ac:dyDescent="0.25">
      <c r="I18" s="3" t="str">
        <f>"Utilities expenses will be reduced by "&amp;'(HIDE) Data Validation'!C66&amp;"% if no Takeaway is offered (Next tab)"</f>
        <v>Utilities expenses will be reduced by 40% if no Takeaway is offered (Next tab)</v>
      </c>
      <c r="J18" s="8"/>
      <c r="K18" s="8"/>
      <c r="L18" s="8"/>
      <c r="M18" s="8"/>
      <c r="N18" s="8"/>
      <c r="O18" s="8"/>
      <c r="P18" s="8"/>
      <c r="Q18" s="8"/>
    </row>
    <row r="19" spans="9:18" x14ac:dyDescent="0.25">
      <c r="I19" s="94" t="str">
        <f>IF('(HIDE) Data Validation'!K47=2,"This was your option earlier, so existing vehicles will be taken into account.","")</f>
        <v/>
      </c>
      <c r="J19" s="9"/>
      <c r="K19" s="9"/>
      <c r="L19" s="9"/>
      <c r="M19" s="9"/>
      <c r="N19" s="9"/>
      <c r="O19" s="9"/>
      <c r="P19" s="9"/>
      <c r="Q19" s="9"/>
    </row>
    <row r="20" spans="9:18" x14ac:dyDescent="0.25">
      <c r="I20" s="3"/>
    </row>
    <row r="21" spans="9:18" x14ac:dyDescent="0.25">
      <c r="I21" s="3" t="s">
        <v>337</v>
      </c>
    </row>
    <row r="22" spans="9:18" x14ac:dyDescent="0.25">
      <c r="I22" s="3" t="str">
        <f>"Sales will be equal to "&amp;100*'(HIDE) Data Validation'!D60&amp;"% of pre-COVID sales"</f>
        <v>Sales will be equal to 10% of pre-COVID sales</v>
      </c>
    </row>
    <row r="23" spans="9:18" x14ac:dyDescent="0.25">
      <c r="I23" s="3" t="s">
        <v>340</v>
      </c>
    </row>
    <row r="24" spans="9:18" x14ac:dyDescent="0.25">
      <c r="I24" s="3" t="str">
        <f>"Utilities expenses will be reduced by "&amp;'(HIDE) Data Validation'!D66&amp;"% if no Takeaway is offered (Next tab)"</f>
        <v>Utilities expenses will be reduced by 40% if no Takeaway is offered (Next tab)</v>
      </c>
    </row>
    <row r="25" spans="9:18" x14ac:dyDescent="0.25">
      <c r="I25" s="94" t="str">
        <f>IF('(HIDE) Data Validation'!K47=3,"This was your option earlier","")</f>
        <v/>
      </c>
    </row>
    <row r="26" spans="9:18" x14ac:dyDescent="0.25">
      <c r="I26" s="3"/>
    </row>
    <row r="27" spans="9:18" x14ac:dyDescent="0.25">
      <c r="I27" s="3"/>
    </row>
    <row r="28" spans="9:18" x14ac:dyDescent="0.25">
      <c r="I28" s="3" t="str">
        <f>"Sales will be equal to "&amp;100*'(HIDE) Data Validation'!E60&amp;"% of pre-COVID sales"</f>
        <v>Sales will be equal to 15% of pre-COVID sales</v>
      </c>
    </row>
    <row r="29" spans="9:18" x14ac:dyDescent="0.25">
      <c r="I29" s="3" t="str">
        <f>100*'(HIDE) Data Validation'!E63&amp;"% of revenue from 'Delivery sales' will be paid in fees to delivery service"</f>
        <v>25% of revenue from 'Delivery sales' will be paid in fees to delivery service</v>
      </c>
    </row>
    <row r="30" spans="9:18" x14ac:dyDescent="0.25">
      <c r="I30" s="3" t="s">
        <v>340</v>
      </c>
    </row>
    <row r="31" spans="9:18" x14ac:dyDescent="0.25">
      <c r="I31" s="3" t="str">
        <f>"Utilities expenses will be reduced by "&amp;'(HIDE) Data Validation'!E66&amp;"% if no Takeaway is offered (Next tab)"</f>
        <v>Utilities expenses will be reduced by 40% if no Takeaway is offered (Next tab)</v>
      </c>
    </row>
    <row r="32" spans="9:18" x14ac:dyDescent="0.25">
      <c r="I32" s="94" t="str">
        <f>IF('(HIDE) Data Validation'!K47=4,"This was your option earlier","")</f>
        <v/>
      </c>
    </row>
  </sheetData>
  <sheetProtection password="DBEB" sheet="1" objects="1" scenarios="1" formatColumns="0" formatRows="0" selectLockedCells="1"/>
  <mergeCells count="1">
    <mergeCell ref="B3:Q3"/>
  </mergeCell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0178" r:id="rId4" name="Option Button 2">
              <controlPr defaultSize="0" autoFill="0" autoLine="0" autoPict="0">
                <anchor moveWithCells="1">
                  <from>
                    <xdr:col>1</xdr:col>
                    <xdr:colOff>638175</xdr:colOff>
                    <xdr:row>4</xdr:row>
                    <xdr:rowOff>180975</xdr:rowOff>
                  </from>
                  <to>
                    <xdr:col>5</xdr:col>
                    <xdr:colOff>609600</xdr:colOff>
                    <xdr:row>6</xdr:row>
                    <xdr:rowOff>28575</xdr:rowOff>
                  </to>
                </anchor>
              </controlPr>
            </control>
          </mc:Choice>
        </mc:AlternateContent>
        <mc:AlternateContent xmlns:mc="http://schemas.openxmlformats.org/markup-compatibility/2006">
          <mc:Choice Requires="x14">
            <control shapeId="50179" r:id="rId5" name="Option Button 3">
              <controlPr defaultSize="0" autoFill="0" autoLine="0" autoPict="0">
                <anchor moveWithCells="1">
                  <from>
                    <xdr:col>2</xdr:col>
                    <xdr:colOff>0</xdr:colOff>
                    <xdr:row>10</xdr:row>
                    <xdr:rowOff>171450</xdr:rowOff>
                  </from>
                  <to>
                    <xdr:col>7</xdr:col>
                    <xdr:colOff>381000</xdr:colOff>
                    <xdr:row>12</xdr:row>
                    <xdr:rowOff>19050</xdr:rowOff>
                  </to>
                </anchor>
              </controlPr>
            </control>
          </mc:Choice>
        </mc:AlternateContent>
        <mc:AlternateContent xmlns:mc="http://schemas.openxmlformats.org/markup-compatibility/2006">
          <mc:Choice Requires="x14">
            <control shapeId="50180" r:id="rId6" name="Option Button 4">
              <controlPr defaultSize="0" autoFill="0" autoLine="0" autoPict="0">
                <anchor moveWithCells="1">
                  <from>
                    <xdr:col>2</xdr:col>
                    <xdr:colOff>0</xdr:colOff>
                    <xdr:row>19</xdr:row>
                    <xdr:rowOff>171450</xdr:rowOff>
                  </from>
                  <to>
                    <xdr:col>6</xdr:col>
                    <xdr:colOff>933450</xdr:colOff>
                    <xdr:row>21</xdr:row>
                    <xdr:rowOff>19050</xdr:rowOff>
                  </to>
                </anchor>
              </controlPr>
            </control>
          </mc:Choice>
        </mc:AlternateContent>
        <mc:AlternateContent xmlns:mc="http://schemas.openxmlformats.org/markup-compatibility/2006">
          <mc:Choice Requires="x14">
            <control shapeId="50181" r:id="rId7" name="Option Button 5">
              <controlPr defaultSize="0" autoFill="0" autoLine="0" autoPict="0">
                <anchor moveWithCells="1">
                  <from>
                    <xdr:col>2</xdr:col>
                    <xdr:colOff>0</xdr:colOff>
                    <xdr:row>26</xdr:row>
                    <xdr:rowOff>171450</xdr:rowOff>
                  </from>
                  <to>
                    <xdr:col>6</xdr:col>
                    <xdr:colOff>752475</xdr:colOff>
                    <xdr:row>28</xdr:row>
                    <xdr:rowOff>19050</xdr:rowOff>
                  </to>
                </anchor>
              </controlPr>
            </control>
          </mc:Choice>
        </mc:AlternateContent>
        <mc:AlternateContent xmlns:mc="http://schemas.openxmlformats.org/markup-compatibility/2006">
          <mc:Choice Requires="x14">
            <control shapeId="50177" r:id="rId8" name="Group Box 1">
              <controlPr defaultSize="0" autoFill="0" autoPict="0">
                <anchor moveWithCells="1">
                  <from>
                    <xdr:col>1</xdr:col>
                    <xdr:colOff>504825</xdr:colOff>
                    <xdr:row>4</xdr:row>
                    <xdr:rowOff>85725</xdr:rowOff>
                  </from>
                  <to>
                    <xdr:col>15</xdr:col>
                    <xdr:colOff>295275</xdr:colOff>
                    <xdr:row>33</xdr:row>
                    <xdr:rowOff>161925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B1:N23"/>
  <sheetViews>
    <sheetView zoomScaleNormal="100" workbookViewId="0">
      <selection activeCell="D6" sqref="D6"/>
    </sheetView>
  </sheetViews>
  <sheetFormatPr defaultColWidth="8.85546875" defaultRowHeight="18.75" x14ac:dyDescent="0.3"/>
  <cols>
    <col min="1" max="1" width="8.85546875" style="42"/>
    <col min="2" max="2" width="14.85546875" style="42" bestFit="1" customWidth="1"/>
    <col min="3" max="3" width="2.7109375" style="42" customWidth="1"/>
    <col min="4" max="4" width="43.28515625" style="42" customWidth="1"/>
    <col min="5" max="5" width="67.42578125" style="42" customWidth="1"/>
    <col min="6" max="8" width="8.85546875" style="42"/>
    <col min="9" max="11" width="8.85546875" style="42" customWidth="1"/>
    <col min="12" max="16384" width="8.85546875" style="42"/>
  </cols>
  <sheetData>
    <row r="1" spans="2:14" ht="44.65" customHeight="1" x14ac:dyDescent="0.3">
      <c r="H1" s="73"/>
      <c r="I1" s="73" t="s">
        <v>233</v>
      </c>
      <c r="J1" s="73"/>
      <c r="K1" s="73" t="s">
        <v>239</v>
      </c>
      <c r="L1" s="73"/>
      <c r="M1" s="73" t="s">
        <v>253</v>
      </c>
      <c r="N1" s="73"/>
    </row>
    <row r="2" spans="2:14" x14ac:dyDescent="0.3">
      <c r="B2" s="45" t="s">
        <v>232</v>
      </c>
      <c r="C2" s="41"/>
      <c r="H2" s="73">
        <v>1</v>
      </c>
      <c r="I2" s="73" t="s">
        <v>237</v>
      </c>
      <c r="J2" s="73">
        <v>1</v>
      </c>
      <c r="K2" s="73" t="s">
        <v>240</v>
      </c>
      <c r="L2" s="73"/>
      <c r="M2" s="73" t="s">
        <v>254</v>
      </c>
      <c r="N2" s="73"/>
    </row>
    <row r="3" spans="2:14" x14ac:dyDescent="0.3">
      <c r="H3" s="73">
        <v>2</v>
      </c>
      <c r="I3" s="73" t="s">
        <v>234</v>
      </c>
      <c r="J3" s="73"/>
      <c r="K3" s="73" t="s">
        <v>241</v>
      </c>
      <c r="L3" s="73"/>
      <c r="M3" s="73" t="s">
        <v>255</v>
      </c>
      <c r="N3" s="73"/>
    </row>
    <row r="4" spans="2:14" x14ac:dyDescent="0.3">
      <c r="B4" s="45" t="s">
        <v>239</v>
      </c>
      <c r="C4" s="41"/>
      <c r="H4" s="73">
        <v>3</v>
      </c>
      <c r="I4" s="73" t="s">
        <v>235</v>
      </c>
      <c r="J4" s="73">
        <v>3</v>
      </c>
      <c r="K4" s="73" t="s">
        <v>242</v>
      </c>
      <c r="L4" s="73"/>
      <c r="M4" s="73" t="s">
        <v>256</v>
      </c>
      <c r="N4" s="73"/>
    </row>
    <row r="5" spans="2:14" ht="19.5" thickBot="1" x14ac:dyDescent="0.35">
      <c r="H5" s="73">
        <v>4</v>
      </c>
      <c r="I5" s="73" t="s">
        <v>236</v>
      </c>
      <c r="J5" s="73">
        <v>4</v>
      </c>
      <c r="K5" s="73" t="s">
        <v>243</v>
      </c>
      <c r="L5" s="73"/>
      <c r="M5" s="73" t="s">
        <v>257</v>
      </c>
      <c r="N5" s="73"/>
    </row>
    <row r="6" spans="2:14" ht="20.25" thickTop="1" thickBot="1" x14ac:dyDescent="0.35">
      <c r="B6" s="45" t="s">
        <v>245</v>
      </c>
      <c r="C6" s="41"/>
      <c r="D6" s="43"/>
      <c r="H6" s="73">
        <v>5</v>
      </c>
      <c r="I6" s="73" t="s">
        <v>238</v>
      </c>
      <c r="J6" s="73">
        <v>5</v>
      </c>
      <c r="K6" s="73" t="s">
        <v>246</v>
      </c>
      <c r="L6" s="73"/>
      <c r="M6" s="73"/>
      <c r="N6" s="73"/>
    </row>
    <row r="7" spans="2:14" ht="19.5" thickTop="1" x14ac:dyDescent="0.3">
      <c r="H7" s="73"/>
      <c r="I7" s="73"/>
      <c r="J7" s="73">
        <v>6</v>
      </c>
      <c r="K7" s="73" t="s">
        <v>244</v>
      </c>
      <c r="L7" s="73"/>
      <c r="M7" s="73"/>
      <c r="N7" s="73"/>
    </row>
    <row r="8" spans="2:14" x14ac:dyDescent="0.3">
      <c r="B8" s="40" t="s">
        <v>247</v>
      </c>
      <c r="H8" s="73"/>
      <c r="I8" s="73"/>
      <c r="J8" s="73"/>
      <c r="K8" s="73"/>
      <c r="L8" s="73"/>
      <c r="M8" s="73"/>
      <c r="N8" s="73"/>
    </row>
    <row r="9" spans="2:14" x14ac:dyDescent="0.3">
      <c r="H9" s="73"/>
      <c r="I9" s="73"/>
      <c r="J9" s="73"/>
      <c r="K9" s="73"/>
      <c r="L9" s="73"/>
      <c r="M9" s="73"/>
      <c r="N9" s="73"/>
    </row>
    <row r="13" spans="2:14" ht="19.5" thickBot="1" x14ac:dyDescent="0.35">
      <c r="C13" s="40" t="s">
        <v>250</v>
      </c>
    </row>
    <row r="14" spans="2:14" ht="20.25" thickTop="1" thickBot="1" x14ac:dyDescent="0.35">
      <c r="D14" s="40" t="s">
        <v>251</v>
      </c>
      <c r="E14" s="43"/>
    </row>
    <row r="15" spans="2:14" ht="19.5" thickTop="1" x14ac:dyDescent="0.3"/>
    <row r="16" spans="2:14" x14ac:dyDescent="0.3">
      <c r="D16" s="40" t="s">
        <v>252</v>
      </c>
    </row>
    <row r="19" spans="2:5" x14ac:dyDescent="0.3">
      <c r="B19" s="253" t="s">
        <v>666</v>
      </c>
    </row>
    <row r="20" spans="2:5" x14ac:dyDescent="0.3">
      <c r="C20" s="253" t="s">
        <v>667</v>
      </c>
      <c r="D20" s="253" t="s">
        <v>668</v>
      </c>
    </row>
    <row r="21" spans="2:5" x14ac:dyDescent="0.3">
      <c r="C21" s="253" t="s">
        <v>669</v>
      </c>
      <c r="D21" s="331" t="s">
        <v>670</v>
      </c>
      <c r="E21" s="331"/>
    </row>
    <row r="22" spans="2:5" x14ac:dyDescent="0.3">
      <c r="D22" s="331"/>
      <c r="E22" s="331"/>
    </row>
    <row r="23" spans="2:5" x14ac:dyDescent="0.3">
      <c r="D23" s="331"/>
      <c r="E23" s="331"/>
    </row>
  </sheetData>
  <sheetProtection password="DBEB" sheet="1" objects="1" scenarios="1" formatColumns="0" formatRows="0" selectLockedCells="1"/>
  <mergeCells count="1">
    <mergeCell ref="D21:E23"/>
  </mergeCells>
  <dataValidations count="2">
    <dataValidation allowBlank="1" showInputMessage="1" showErrorMessage="1" errorTitle="Invalid" error="Please select an option from the list" promptTitle="Select Age" sqref="D2" xr:uid="{00000000-0002-0000-0100-000000000000}"/>
    <dataValidation allowBlank="1" showInputMessage="1" showErrorMessage="1" errorTitle="Invalid" error="Please select an option from the list" promptTitle="Select Country" sqref="D4" xr:uid="{00000000-0002-0000-0100-000001000000}"/>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3" r:id="rId4" name="Drop Down 3">
              <controlPr locked="0" defaultSize="0" autoLine="0" autoPict="0">
                <anchor moveWithCells="1">
                  <from>
                    <xdr:col>3</xdr:col>
                    <xdr:colOff>9525</xdr:colOff>
                    <xdr:row>1</xdr:row>
                    <xdr:rowOff>19050</xdr:rowOff>
                  </from>
                  <to>
                    <xdr:col>3</xdr:col>
                    <xdr:colOff>933450</xdr:colOff>
                    <xdr:row>1</xdr:row>
                    <xdr:rowOff>228600</xdr:rowOff>
                  </to>
                </anchor>
              </controlPr>
            </control>
          </mc:Choice>
        </mc:AlternateContent>
        <mc:AlternateContent xmlns:mc="http://schemas.openxmlformats.org/markup-compatibility/2006">
          <mc:Choice Requires="x14">
            <control shapeId="25606" r:id="rId5" name="Drop Down 6">
              <controlPr locked="0" defaultSize="0" autoLine="0" autoPict="0">
                <anchor moveWithCells="1">
                  <from>
                    <xdr:col>3</xdr:col>
                    <xdr:colOff>9525</xdr:colOff>
                    <xdr:row>3</xdr:row>
                    <xdr:rowOff>19050</xdr:rowOff>
                  </from>
                  <to>
                    <xdr:col>3</xdr:col>
                    <xdr:colOff>1362075</xdr:colOff>
                    <xdr:row>4</xdr:row>
                    <xdr:rowOff>0</xdr:rowOff>
                  </to>
                </anchor>
              </controlPr>
            </control>
          </mc:Choice>
        </mc:AlternateContent>
        <mc:AlternateContent xmlns:mc="http://schemas.openxmlformats.org/markup-compatibility/2006">
          <mc:Choice Requires="x14">
            <control shapeId="25607" r:id="rId6" name="Group Box 7">
              <controlPr locked="0" defaultSize="0" autoFill="0" autoPict="0">
                <anchor moveWithCells="1">
                  <from>
                    <xdr:col>2</xdr:col>
                    <xdr:colOff>114300</xdr:colOff>
                    <xdr:row>8</xdr:row>
                    <xdr:rowOff>57150</xdr:rowOff>
                  </from>
                  <to>
                    <xdr:col>3</xdr:col>
                    <xdr:colOff>1352550</xdr:colOff>
                    <xdr:row>12</xdr:row>
                    <xdr:rowOff>0</xdr:rowOff>
                  </to>
                </anchor>
              </controlPr>
            </control>
          </mc:Choice>
        </mc:AlternateContent>
        <mc:AlternateContent xmlns:mc="http://schemas.openxmlformats.org/markup-compatibility/2006">
          <mc:Choice Requires="x14">
            <control shapeId="25608" r:id="rId7" name="Option Button 8">
              <controlPr locked="0" defaultSize="0" autoFill="0" autoLine="0" autoPict="0">
                <anchor moveWithCells="1">
                  <from>
                    <xdr:col>3</xdr:col>
                    <xdr:colOff>0</xdr:colOff>
                    <xdr:row>8</xdr:row>
                    <xdr:rowOff>133350</xdr:rowOff>
                  </from>
                  <to>
                    <xdr:col>3</xdr:col>
                    <xdr:colOff>885825</xdr:colOff>
                    <xdr:row>9</xdr:row>
                    <xdr:rowOff>123825</xdr:rowOff>
                  </to>
                </anchor>
              </controlPr>
            </control>
          </mc:Choice>
        </mc:AlternateContent>
        <mc:AlternateContent xmlns:mc="http://schemas.openxmlformats.org/markup-compatibility/2006">
          <mc:Choice Requires="x14">
            <control shapeId="25609" r:id="rId8" name="Option Button 9">
              <controlPr locked="0" defaultSize="0" autoFill="0" autoLine="0" autoPict="0">
                <anchor moveWithCells="1">
                  <from>
                    <xdr:col>3</xdr:col>
                    <xdr:colOff>0</xdr:colOff>
                    <xdr:row>9</xdr:row>
                    <xdr:rowOff>133350</xdr:rowOff>
                  </from>
                  <to>
                    <xdr:col>3</xdr:col>
                    <xdr:colOff>885825</xdr:colOff>
                    <xdr:row>10</xdr:row>
                    <xdr:rowOff>123825</xdr:rowOff>
                  </to>
                </anchor>
              </controlPr>
            </control>
          </mc:Choice>
        </mc:AlternateContent>
        <mc:AlternateContent xmlns:mc="http://schemas.openxmlformats.org/markup-compatibility/2006">
          <mc:Choice Requires="x14">
            <control shapeId="25610" r:id="rId9" name="Drop Down 10">
              <controlPr locked="0" defaultSize="0" autoLine="0" autoPict="0">
                <anchor moveWithCells="1">
                  <from>
                    <xdr:col>4</xdr:col>
                    <xdr:colOff>9525</xdr:colOff>
                    <xdr:row>15</xdr:row>
                    <xdr:rowOff>19050</xdr:rowOff>
                  </from>
                  <to>
                    <xdr:col>4</xdr:col>
                    <xdr:colOff>1781175</xdr:colOff>
                    <xdr:row>15</xdr:row>
                    <xdr:rowOff>228600</xdr:rowOff>
                  </to>
                </anchor>
              </controlPr>
            </control>
          </mc:Choice>
        </mc:AlternateContent>
        <mc:AlternateContent xmlns:mc="http://schemas.openxmlformats.org/markup-compatibility/2006">
          <mc:Choice Requires="x14">
            <control shapeId="25611" r:id="rId10" name="Option Button 11">
              <controlPr locked="0" defaultSize="0" autoFill="0" autoLine="0" autoPict="0">
                <anchor moveWithCells="1">
                  <from>
                    <xdr:col>3</xdr:col>
                    <xdr:colOff>0</xdr:colOff>
                    <xdr:row>10</xdr:row>
                    <xdr:rowOff>133350</xdr:rowOff>
                  </from>
                  <to>
                    <xdr:col>3</xdr:col>
                    <xdr:colOff>885825</xdr:colOff>
                    <xdr:row>11</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Q28"/>
  <sheetViews>
    <sheetView zoomScaleNormal="100" workbookViewId="0">
      <selection activeCell="Q23" sqref="Q23"/>
    </sheetView>
  </sheetViews>
  <sheetFormatPr defaultColWidth="8.85546875" defaultRowHeight="15" x14ac:dyDescent="0.25"/>
  <cols>
    <col min="1" max="3" width="8.85546875" style="1"/>
    <col min="4" max="4" width="12.85546875" style="1" customWidth="1"/>
    <col min="5" max="5" width="11.28515625" style="1" bestFit="1" customWidth="1"/>
    <col min="6" max="11" width="8.85546875" style="1"/>
    <col min="12" max="12" width="13.28515625" style="1" customWidth="1"/>
    <col min="13" max="16384" width="8.85546875" style="1"/>
  </cols>
  <sheetData>
    <row r="1" spans="2:14" ht="69.400000000000006" customHeight="1" x14ac:dyDescent="0.25"/>
    <row r="2" spans="2:14" x14ac:dyDescent="0.25">
      <c r="B2" s="1" t="str">
        <f>"Due to the lockdown laws, customers will not be able to dine-in. However, "&amp;IF('Business Setup'!F3="","UNNAMED",'Business Setup'!F3)&amp;" may also be able to offer takeaway options."</f>
        <v>Due to the lockdown laws, customers will not be able to dine-in. However, UNNAMED may also be able to offer takeaway options.</v>
      </c>
    </row>
    <row r="5" spans="2:14" x14ac:dyDescent="0.25">
      <c r="F5" s="1" t="s">
        <v>338</v>
      </c>
    </row>
    <row r="6" spans="2:14" x14ac:dyDescent="0.25">
      <c r="F6" s="1" t="s">
        <v>339</v>
      </c>
    </row>
    <row r="7" spans="2:14" x14ac:dyDescent="0.25">
      <c r="F7" s="1" t="s">
        <v>340</v>
      </c>
    </row>
    <row r="10" spans="2:14" x14ac:dyDescent="0.25">
      <c r="F10" s="1" t="s">
        <v>341</v>
      </c>
    </row>
    <row r="12" spans="2:14" ht="15.95" customHeight="1" x14ac:dyDescent="0.25">
      <c r="C12" s="411" t="str">
        <f>IF('(HIDE) Data Validation'!D3=2,"AS YOU ARE LOCATED AT A FOOD COURT, FEDERAL GOVERNMENT DECISIONS MEAN YOU CANNOT OFFER TAKE AWAY UNTIL RESTRICTIONS EASE","")</f>
        <v/>
      </c>
      <c r="D12" s="411"/>
      <c r="E12" s="411"/>
      <c r="F12" s="411"/>
      <c r="G12" s="411"/>
      <c r="H12" s="411"/>
      <c r="I12" s="411"/>
      <c r="J12" s="411"/>
      <c r="K12" s="411"/>
      <c r="L12" s="411"/>
      <c r="M12" s="411"/>
    </row>
    <row r="13" spans="2:14" ht="15.95" customHeight="1" x14ac:dyDescent="0.25">
      <c r="C13" s="411"/>
      <c r="D13" s="411"/>
      <c r="E13" s="411"/>
      <c r="F13" s="411"/>
      <c r="G13" s="411"/>
      <c r="H13" s="411"/>
      <c r="I13" s="411"/>
      <c r="J13" s="411"/>
      <c r="K13" s="411"/>
      <c r="L13" s="411"/>
      <c r="M13" s="411"/>
    </row>
    <row r="16" spans="2:14" x14ac:dyDescent="0.25">
      <c r="B16" s="342" t="str">
        <f>"To attract more business, an idea that has been suggested is to REPLACE the current menu with a 'COVID combo deal' which includes two servings of "&amp;'(HIDE) Data Validation'!A7&amp;" and two servings of "&amp;'(HIDE) Data Validation'!B42&amp;" at a discount of "&amp;100*(1-'(HIDE) Data Validation'!C73)&amp;"% of normal prices for "&amp;'(HIDE) Data Validation'!A7&amp;" and a fixed price of $3 for "&amp;'(HIDE) Data Validation'!B42</f>
        <v>To attract more business, an idea that has been suggested is to REPLACE the current menu with a 'COVID combo deal' which includes two servings of Burgers and two servings of Hot Chips at a discount of 20% of normal prices for Burgers and a fixed price of $3 for Hot Chips</v>
      </c>
      <c r="C16" s="342"/>
      <c r="D16" s="342"/>
      <c r="E16" s="342"/>
      <c r="F16" s="342"/>
      <c r="G16" s="342"/>
      <c r="H16" s="342"/>
      <c r="I16" s="342"/>
      <c r="J16" s="342"/>
      <c r="K16" s="342"/>
      <c r="L16" s="342"/>
      <c r="M16" s="342"/>
      <c r="N16" s="342"/>
    </row>
    <row r="17" spans="2:17" x14ac:dyDescent="0.25">
      <c r="B17" s="342"/>
      <c r="C17" s="342"/>
      <c r="D17" s="342"/>
      <c r="E17" s="342"/>
      <c r="F17" s="342"/>
      <c r="G17" s="342"/>
      <c r="H17" s="342"/>
      <c r="I17" s="342"/>
      <c r="J17" s="342"/>
      <c r="K17" s="342"/>
      <c r="L17" s="342"/>
      <c r="M17" s="342"/>
      <c r="N17" s="342"/>
    </row>
    <row r="20" spans="2:17" x14ac:dyDescent="0.25">
      <c r="E20" s="1" t="s">
        <v>342</v>
      </c>
    </row>
    <row r="22" spans="2:17" x14ac:dyDescent="0.25">
      <c r="E22" s="1" t="s">
        <v>364</v>
      </c>
    </row>
    <row r="23" spans="2:17" x14ac:dyDescent="0.25">
      <c r="E23" s="1" t="str">
        <f>"Combo Deals will increase "&amp;'(HIDE) Data Validation'!A7&amp;" sales by "&amp;100*'(HIDE) Data Validation'!G73&amp;"% of pre-COVID sales for both Takeaway and/or Deliveries "</f>
        <v xml:space="preserve">Combo Deals will increase Burgers sales by 3% of pre-COVID sales for both Takeaway and/or Deliveries </v>
      </c>
      <c r="Q23" s="158"/>
    </row>
    <row r="24" spans="2:17" x14ac:dyDescent="0.25">
      <c r="E24" s="1" t="str">
        <f>"Sales numbers of "&amp;'(HIDE) Data Validation'!B42&amp;" will match "&amp;'(HIDE) Data Validation'!A7</f>
        <v>Sales numbers of Hot Chips will match Burgers</v>
      </c>
    </row>
    <row r="25" spans="2:17" x14ac:dyDescent="0.25">
      <c r="E25" s="1" t="s">
        <v>343</v>
      </c>
      <c r="G25" s="5">
        <f>(2*'(HIDE) Data Validation'!E4*'(HIDE) Data Validation'!C73)+6</f>
        <v>22</v>
      </c>
    </row>
    <row r="26" spans="2:17" x14ac:dyDescent="0.25">
      <c r="E26" s="1" t="s">
        <v>344</v>
      </c>
      <c r="G26" s="5">
        <f>'(HIDE) Data Validation'!G5*2+'(HIDE) Data Validation'!B43*2</f>
        <v>10.8</v>
      </c>
    </row>
    <row r="28" spans="2:17" ht="15.75" x14ac:dyDescent="0.25">
      <c r="C28" s="65" t="str">
        <f>IF(AND('(HIDE) Data Validation'!G57=1,'(HIDE) Data Validation'!E67=2),"AS YOU HAVE CHOSEN NO DELIVERIES AND NO TAKE AWAY THIS CHOICE WILL HAVE NO EFFECTS","")</f>
        <v>AS YOU HAVE CHOSEN NO DELIVERIES AND NO TAKE AWAY THIS CHOICE WILL HAVE NO EFFECTS</v>
      </c>
    </row>
  </sheetData>
  <sheetProtection algorithmName="SHA-512" hashValue="3zwxcjiOa8RS2eVCv7LiIuJKTHMzQrYvHGGIrEDpVqWFVxUf0+BdYlpTjr3N2WNJcV7KL0/hhzM2l9Ma25GGcw==" saltValue="+zUc+OmZ7sklhYBC8ey0OA==" spinCount="100000" sheet="1" objects="1" scenarios="1" formatColumns="0" formatRows="0" selectLockedCells="1"/>
  <mergeCells count="2">
    <mergeCell ref="B16:N17"/>
    <mergeCell ref="C12:M13"/>
  </mergeCells>
  <pageMargins left="0.7" right="0.7" top="0.75" bottom="0.75" header="0.3" footer="0.3"/>
  <pageSetup paperSize="9" orientation="portrait" horizontalDpi="0" verticalDpi="0" r:id="rId1"/>
  <cellWatches>
    <cellWatch r="A1"/>
  </cellWatche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Group Box 1">
              <controlPr defaultSize="0" autoFill="0" autoPict="0">
                <anchor moveWithCells="1">
                  <from>
                    <xdr:col>1</xdr:col>
                    <xdr:colOff>476250</xdr:colOff>
                    <xdr:row>3</xdr:row>
                    <xdr:rowOff>85725</xdr:rowOff>
                  </from>
                  <to>
                    <xdr:col>14</xdr:col>
                    <xdr:colOff>152400</xdr:colOff>
                    <xdr:row>13</xdr:row>
                    <xdr:rowOff>114300</xdr:rowOff>
                  </to>
                </anchor>
              </controlPr>
            </control>
          </mc:Choice>
        </mc:AlternateContent>
        <mc:AlternateContent xmlns:mc="http://schemas.openxmlformats.org/markup-compatibility/2006">
          <mc:Choice Requires="x14">
            <control shapeId="58370" r:id="rId5" name="Option Button 2">
              <controlPr defaultSize="0" autoFill="0" autoLine="0" autoPict="0">
                <anchor moveWithCells="1">
                  <from>
                    <xdr:col>1</xdr:col>
                    <xdr:colOff>628650</xdr:colOff>
                    <xdr:row>3</xdr:row>
                    <xdr:rowOff>161925</xdr:rowOff>
                  </from>
                  <to>
                    <xdr:col>3</xdr:col>
                    <xdr:colOff>676275</xdr:colOff>
                    <xdr:row>5</xdr:row>
                    <xdr:rowOff>9525</xdr:rowOff>
                  </to>
                </anchor>
              </controlPr>
            </control>
          </mc:Choice>
        </mc:AlternateContent>
        <mc:AlternateContent xmlns:mc="http://schemas.openxmlformats.org/markup-compatibility/2006">
          <mc:Choice Requires="x14">
            <control shapeId="58371" r:id="rId6" name="Option Button 3">
              <controlPr defaultSize="0" autoFill="0" autoLine="0" autoPict="0">
                <anchor moveWithCells="1">
                  <from>
                    <xdr:col>1</xdr:col>
                    <xdr:colOff>628650</xdr:colOff>
                    <xdr:row>8</xdr:row>
                    <xdr:rowOff>161925</xdr:rowOff>
                  </from>
                  <to>
                    <xdr:col>3</xdr:col>
                    <xdr:colOff>238125</xdr:colOff>
                    <xdr:row>10</xdr:row>
                    <xdr:rowOff>9525</xdr:rowOff>
                  </to>
                </anchor>
              </controlPr>
            </control>
          </mc:Choice>
        </mc:AlternateContent>
        <mc:AlternateContent xmlns:mc="http://schemas.openxmlformats.org/markup-compatibility/2006">
          <mc:Choice Requires="x14">
            <control shapeId="58372" r:id="rId7" name="Group Box 4">
              <controlPr defaultSize="0" autoFill="0" autoPict="0">
                <anchor moveWithCells="1">
                  <from>
                    <xdr:col>1</xdr:col>
                    <xdr:colOff>466725</xdr:colOff>
                    <xdr:row>18</xdr:row>
                    <xdr:rowOff>104775</xdr:rowOff>
                  </from>
                  <to>
                    <xdr:col>14</xdr:col>
                    <xdr:colOff>190500</xdr:colOff>
                    <xdr:row>28</xdr:row>
                    <xdr:rowOff>190500</xdr:rowOff>
                  </to>
                </anchor>
              </controlPr>
            </control>
          </mc:Choice>
        </mc:AlternateContent>
        <mc:AlternateContent xmlns:mc="http://schemas.openxmlformats.org/markup-compatibility/2006">
          <mc:Choice Requires="x14">
            <control shapeId="58373" r:id="rId8" name="Option Button 5">
              <controlPr defaultSize="0" autoFill="0" autoLine="0" autoPict="0">
                <anchor moveWithCells="1">
                  <from>
                    <xdr:col>1</xdr:col>
                    <xdr:colOff>638175</xdr:colOff>
                    <xdr:row>18</xdr:row>
                    <xdr:rowOff>171450</xdr:rowOff>
                  </from>
                  <to>
                    <xdr:col>3</xdr:col>
                    <xdr:colOff>857250</xdr:colOff>
                    <xdr:row>20</xdr:row>
                    <xdr:rowOff>19050</xdr:rowOff>
                  </to>
                </anchor>
              </controlPr>
            </control>
          </mc:Choice>
        </mc:AlternateContent>
        <mc:AlternateContent xmlns:mc="http://schemas.openxmlformats.org/markup-compatibility/2006">
          <mc:Choice Requires="x14">
            <control shapeId="58374" r:id="rId9" name="Option Button 6">
              <controlPr defaultSize="0" autoFill="0" autoLine="0" autoPict="0">
                <anchor moveWithCells="1">
                  <from>
                    <xdr:col>2</xdr:col>
                    <xdr:colOff>0</xdr:colOff>
                    <xdr:row>20</xdr:row>
                    <xdr:rowOff>161925</xdr:rowOff>
                  </from>
                  <to>
                    <xdr:col>3</xdr:col>
                    <xdr:colOff>866775</xdr:colOff>
                    <xdr:row>22</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B1:L30"/>
  <sheetViews>
    <sheetView zoomScale="115" zoomScaleNormal="115" workbookViewId="0">
      <selection activeCell="B20" sqref="B20"/>
    </sheetView>
  </sheetViews>
  <sheetFormatPr defaultColWidth="8.85546875" defaultRowHeight="15" x14ac:dyDescent="0.25"/>
  <cols>
    <col min="1" max="1" width="5.5703125" style="1" customWidth="1"/>
    <col min="2" max="2" width="16.5703125" style="1" customWidth="1"/>
    <col min="3" max="3" width="51.28515625" style="1" customWidth="1"/>
    <col min="4" max="4" width="18.7109375" style="1" customWidth="1"/>
    <col min="5" max="5" width="33.28515625" style="1" customWidth="1"/>
    <col min="6" max="6" width="15.5703125" style="1" customWidth="1"/>
    <col min="7" max="16384" width="8.85546875" style="1"/>
  </cols>
  <sheetData>
    <row r="1" spans="2:12" ht="64.349999999999994" customHeight="1" x14ac:dyDescent="0.25"/>
    <row r="2" spans="2:12" x14ac:dyDescent="0.25">
      <c r="B2" s="1" t="s">
        <v>333</v>
      </c>
    </row>
    <row r="3" spans="2:12" x14ac:dyDescent="0.25">
      <c r="B3" s="1" t="str">
        <f>"Before the lockdowns, "&amp;IF('Business Setup'!F3="","UNNAMED",'Business Setup'!F3)&amp;" had "&amp;'(HIDE) Data Validation'!AC16&amp;" employees"</f>
        <v>Before the lockdowns, UNNAMED had 15 employees</v>
      </c>
    </row>
    <row r="4" spans="2:12" x14ac:dyDescent="0.25">
      <c r="B4" s="1" t="s">
        <v>548</v>
      </c>
    </row>
    <row r="5" spans="2:12" x14ac:dyDescent="0.25">
      <c r="B5" s="1" t="str">
        <f>IF('Business Setup'!F3="","UNNAMED",'Business Setup'!F3)&amp;" is a new business and most of the employees are on a casual basis so not all employees qualify. Currently "&amp;'(HIDE) Data Validation'!I57&amp;" Employees are eligible, including the Sales Manager"</f>
        <v>UNNAMED is a new business and most of the employees are on a casual basis so not all employees qualify. Currently 5 Employees are eligible, including the Sales Manager</v>
      </c>
    </row>
    <row r="6" spans="2:12" x14ac:dyDescent="0.25">
      <c r="B6" s="1" t="str">
        <f>"Based on your current choices for COVID Delivery and Take-away options, "&amp;'(HIDE) Data Validation'!I58&amp;" Employees are required to run "&amp;IF('Business Setup'!F3="","UNNAMED",'Business Setup'!F3)</f>
        <v>Based on your current choices for COVID Delivery and Take-away options, 0 Employees are required to run UNNAMED</v>
      </c>
    </row>
    <row r="7" spans="2:12" x14ac:dyDescent="0.25">
      <c r="B7" s="1" t="s">
        <v>391</v>
      </c>
      <c r="K7" s="63" t="s">
        <v>390</v>
      </c>
    </row>
    <row r="8" spans="2:12" x14ac:dyDescent="0.25">
      <c r="B8" s="1" t="s">
        <v>392</v>
      </c>
    </row>
    <row r="10" spans="2:12" ht="15.75" thickBot="1" x14ac:dyDescent="0.3"/>
    <row r="11" spans="2:12" ht="15.75" thickBot="1" x14ac:dyDescent="0.3">
      <c r="C11" s="299" t="s">
        <v>380</v>
      </c>
      <c r="D11" s="300">
        <f>'(HIDE) Data Validation'!AC16</f>
        <v>15</v>
      </c>
    </row>
    <row r="12" spans="2:12" ht="15.75" thickBot="1" x14ac:dyDescent="0.3">
      <c r="C12" s="299" t="s">
        <v>431</v>
      </c>
      <c r="D12" s="301">
        <f>'(HIDE) Data Validation'!I57</f>
        <v>5</v>
      </c>
    </row>
    <row r="13" spans="2:12" ht="15.75" thickBot="1" x14ac:dyDescent="0.3">
      <c r="C13" s="299" t="s">
        <v>381</v>
      </c>
      <c r="D13" s="300">
        <f>'(HIDE) Data Validation'!I58</f>
        <v>0</v>
      </c>
      <c r="L13" s="63" t="s">
        <v>428</v>
      </c>
    </row>
    <row r="14" spans="2:12" ht="15.75" thickBot="1" x14ac:dyDescent="0.3">
      <c r="C14" s="299" t="s">
        <v>415</v>
      </c>
      <c r="D14" s="152">
        <f>'(HIDE) Data Validation'!I60</f>
        <v>5120</v>
      </c>
    </row>
    <row r="16" spans="2:12" x14ac:dyDescent="0.25">
      <c r="B16" s="7" t="s">
        <v>549</v>
      </c>
    </row>
    <row r="17" spans="2:12" x14ac:dyDescent="0.25">
      <c r="B17" s="7" t="s">
        <v>393</v>
      </c>
    </row>
    <row r="18" spans="2:12" ht="15.75" thickBot="1" x14ac:dyDescent="0.3"/>
    <row r="19" spans="2:12" ht="15.75" thickBot="1" x14ac:dyDescent="0.3">
      <c r="B19" s="152" t="str">
        <f>'(HIDE) Data Validation'!I59&amp;" Employees"</f>
        <v>0 Employees</v>
      </c>
      <c r="E19" s="152" t="s">
        <v>430</v>
      </c>
      <c r="F19" s="302">
        <f>'(HIDE) Data Validation'!I62</f>
        <v>0</v>
      </c>
    </row>
    <row r="20" spans="2:12" ht="15.75" thickBot="1" x14ac:dyDescent="0.3">
      <c r="B20" s="293"/>
      <c r="C20" s="296" t="s">
        <v>715</v>
      </c>
      <c r="E20" s="152" t="s">
        <v>382</v>
      </c>
      <c r="F20" s="303">
        <f>'(HIDE) Data Validation'!I63</f>
        <v>0</v>
      </c>
    </row>
    <row r="21" spans="2:12" ht="15.75" thickBot="1" x14ac:dyDescent="0.3">
      <c r="B21" s="6"/>
    </row>
    <row r="22" spans="2:12" ht="15.75" thickBot="1" x14ac:dyDescent="0.3">
      <c r="E22" s="304" t="s">
        <v>451</v>
      </c>
      <c r="F22" s="305">
        <f>'(HIDE) Data Validation'!I65</f>
        <v>15</v>
      </c>
    </row>
    <row r="24" spans="2:12" ht="15.75" x14ac:dyDescent="0.25">
      <c r="B24" s="412" t="str">
        <f>IF(AND('(HIDE) Data Validation'!G57=1,'(HIDE) Data Validation'!E67=2),"YOU HAVE CHOSEN TO SHUTDOWN BUT MAY DECIDE TO CONTINUE TO HIRE EMPLOYEES TO HELP THEM THROUGH DIFFICULT TIMES","")</f>
        <v>YOU HAVE CHOSEN TO SHUTDOWN BUT MAY DECIDE TO CONTINUE TO HIRE EMPLOYEES TO HELP THEM THROUGH DIFFICULT TIMES</v>
      </c>
      <c r="C24" s="412"/>
      <c r="D24" s="412"/>
      <c r="E24" s="412"/>
      <c r="F24" s="65"/>
      <c r="G24" s="65"/>
      <c r="H24" s="65"/>
      <c r="I24" s="65"/>
      <c r="J24" s="65"/>
    </row>
    <row r="25" spans="2:12" ht="15.75" x14ac:dyDescent="0.25">
      <c r="B25" s="412"/>
      <c r="C25" s="412"/>
      <c r="D25" s="412"/>
      <c r="E25" s="412"/>
      <c r="F25" s="65"/>
      <c r="G25" s="65"/>
      <c r="H25" s="65"/>
      <c r="I25" s="65"/>
      <c r="J25" s="65"/>
      <c r="L25" s="63" t="s">
        <v>429</v>
      </c>
    </row>
    <row r="26" spans="2:12" ht="15.75" x14ac:dyDescent="0.25">
      <c r="E26" s="65"/>
      <c r="F26" s="65"/>
      <c r="G26" s="65"/>
      <c r="H26" s="65"/>
      <c r="I26" s="65"/>
      <c r="J26" s="65"/>
    </row>
    <row r="27" spans="2:12" ht="15.75" x14ac:dyDescent="0.25">
      <c r="E27" s="65"/>
      <c r="F27" s="65"/>
      <c r="G27" s="65"/>
      <c r="H27" s="65"/>
      <c r="I27" s="65"/>
      <c r="J27" s="65"/>
    </row>
    <row r="28" spans="2:12" ht="15.75" x14ac:dyDescent="0.25">
      <c r="E28" s="65"/>
      <c r="F28" s="65"/>
      <c r="G28" s="65"/>
      <c r="H28" s="65"/>
      <c r="I28" s="65"/>
      <c r="J28" s="65"/>
    </row>
    <row r="29" spans="2:12" ht="15.75" x14ac:dyDescent="0.25">
      <c r="E29" s="65"/>
      <c r="F29" s="65"/>
      <c r="G29" s="65"/>
      <c r="H29" s="65"/>
      <c r="I29" s="65"/>
      <c r="J29" s="65"/>
    </row>
    <row r="30" spans="2:12" ht="15.75" x14ac:dyDescent="0.25">
      <c r="E30" s="65"/>
      <c r="F30" s="65"/>
      <c r="G30" s="65"/>
      <c r="H30" s="65"/>
      <c r="I30" s="65"/>
      <c r="J30" s="65"/>
    </row>
  </sheetData>
  <sheetProtection algorithmName="SHA-512" hashValue="bobJpFbvO7eY8Kobz+MarXyfyx6eakjlr9WgAY13N2BfCyXabQmypx2GeKNxecwh9404JvrRmTAPNtroKxfOFw==" saltValue="bCR3HfLTxQjWxxjAu/IJ8w==" spinCount="100000" sheet="1" objects="1" scenarios="1" formatColumns="0" formatRows="0" selectLockedCells="1"/>
  <mergeCells count="1">
    <mergeCell ref="B24:E25"/>
  </mergeCells>
  <conditionalFormatting sqref="F20">
    <cfRule type="colorScale" priority="2">
      <colorScale>
        <cfvo type="num" val="0"/>
        <cfvo type="percent" val="0.5"/>
        <cfvo type="num" val="1"/>
        <color rgb="FFF8696B"/>
        <color rgb="FFFFEB84"/>
        <color rgb="FF63BE7B"/>
      </colorScale>
    </cfRule>
  </conditionalFormatting>
  <conditionalFormatting sqref="F22">
    <cfRule type="colorScale" priority="1">
      <colorScale>
        <cfvo type="num" val="0"/>
        <cfvo type="formula" val="ROUND($D$11/2,0)"/>
        <cfvo type="formula" val="$D$11"/>
        <color theme="9"/>
        <color rgb="FFFFEB84"/>
        <color rgb="FFFF0000"/>
      </colorScale>
    </cfRule>
  </conditionalFormatting>
  <dataValidations count="1">
    <dataValidation type="whole" allowBlank="1" showErrorMessage="1" error="Please input a whole number" sqref="B20" xr:uid="{00000000-0002-0000-1400-000000000000}">
      <formula1>0</formula1>
      <formula2>1000</formula2>
    </dataValidation>
  </dataValidation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Scroll Bar 1">
              <controlPr defaultSize="0" autoPict="0">
                <anchor moveWithCells="1">
                  <from>
                    <xdr:col>2</xdr:col>
                    <xdr:colOff>47625</xdr:colOff>
                    <xdr:row>17</xdr:row>
                    <xdr:rowOff>180975</xdr:rowOff>
                  </from>
                  <to>
                    <xdr:col>2</xdr:col>
                    <xdr:colOff>3286125</xdr:colOff>
                    <xdr:row>18</xdr:row>
                    <xdr:rowOff>190500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B1:K40"/>
  <sheetViews>
    <sheetView zoomScale="80" zoomScaleNormal="80" workbookViewId="0">
      <selection activeCell="K10" sqref="K10"/>
    </sheetView>
  </sheetViews>
  <sheetFormatPr defaultColWidth="8.85546875" defaultRowHeight="15" x14ac:dyDescent="0.25"/>
  <cols>
    <col min="1" max="1" width="2.7109375" style="1" customWidth="1"/>
    <col min="2" max="2" width="48" style="1" customWidth="1"/>
    <col min="3" max="8" width="19.42578125" style="1" customWidth="1"/>
    <col min="9" max="9" width="19.42578125" style="7" customWidth="1"/>
    <col min="10" max="11" width="13.5703125" style="1" bestFit="1" customWidth="1"/>
    <col min="12" max="16384" width="8.85546875" style="1"/>
  </cols>
  <sheetData>
    <row r="1" spans="2:11" ht="18.75" x14ac:dyDescent="0.3">
      <c r="B1" s="368" t="str">
        <f>IF('Business Setup'!F3="","UNNAMED",'Business Setup'!F3)</f>
        <v>UNNAMED</v>
      </c>
      <c r="C1" s="368"/>
      <c r="D1" s="368"/>
      <c r="E1" s="368"/>
      <c r="F1" s="368"/>
      <c r="G1" s="368"/>
      <c r="H1" s="368"/>
      <c r="I1" s="368"/>
    </row>
    <row r="2" spans="2:11" ht="18.75" x14ac:dyDescent="0.3">
      <c r="B2" s="368" t="s">
        <v>0</v>
      </c>
      <c r="C2" s="368"/>
      <c r="D2" s="368"/>
      <c r="E2" s="368"/>
      <c r="F2" s="368"/>
      <c r="G2" s="368"/>
      <c r="H2" s="368"/>
      <c r="I2" s="368"/>
    </row>
    <row r="3" spans="2:11" ht="18.75" x14ac:dyDescent="0.3">
      <c r="B3" s="368" t="s">
        <v>324</v>
      </c>
      <c r="C3" s="368"/>
      <c r="D3" s="368"/>
      <c r="E3" s="368"/>
      <c r="F3" s="368"/>
      <c r="G3" s="368"/>
      <c r="H3" s="368"/>
      <c r="I3" s="368"/>
    </row>
    <row r="4" spans="2:11" x14ac:dyDescent="0.25">
      <c r="I4" s="1"/>
    </row>
    <row r="5" spans="2:11" x14ac:dyDescent="0.25">
      <c r="C5" s="19" t="s">
        <v>1</v>
      </c>
      <c r="D5" s="19" t="s">
        <v>2</v>
      </c>
      <c r="E5" s="19" t="s">
        <v>3</v>
      </c>
      <c r="F5" s="19" t="s">
        <v>4</v>
      </c>
      <c r="G5" s="19" t="s">
        <v>5</v>
      </c>
      <c r="H5" s="19" t="s">
        <v>6</v>
      </c>
      <c r="I5" s="19" t="s">
        <v>27</v>
      </c>
    </row>
    <row r="6" spans="2:11" ht="15.75" x14ac:dyDescent="0.25">
      <c r="B6" s="109" t="s">
        <v>13</v>
      </c>
      <c r="C6" s="128" t="s">
        <v>38</v>
      </c>
      <c r="D6" s="128" t="s">
        <v>38</v>
      </c>
      <c r="E6" s="128" t="s">
        <v>38</v>
      </c>
      <c r="F6" s="128" t="s">
        <v>38</v>
      </c>
      <c r="G6" s="128" t="s">
        <v>38</v>
      </c>
      <c r="H6" s="128" t="s">
        <v>38</v>
      </c>
      <c r="I6" s="128" t="s">
        <v>38</v>
      </c>
    </row>
    <row r="7" spans="2:11" x14ac:dyDescent="0.25">
      <c r="B7" s="20" t="str">
        <f>"Cash Sales ("&amp;'(HIDE) Data Validation'!A7&amp;")"</f>
        <v>Cash Sales (Burgers)</v>
      </c>
      <c r="C7" s="95">
        <f>'(HIDE) Data Validation'!AL42</f>
        <v>180887</v>
      </c>
      <c r="D7" s="95">
        <f>'(HIDE) Data Validation'!AM42</f>
        <v>193340</v>
      </c>
      <c r="E7" s="95">
        <f>'(HIDE) Data Validation'!AN42</f>
        <v>0</v>
      </c>
      <c r="F7" s="95">
        <f>'(HIDE) Data Validation'!AO42</f>
        <v>0</v>
      </c>
      <c r="G7" s="95">
        <f>'(HIDE) Data Validation'!AP42</f>
        <v>0</v>
      </c>
      <c r="H7" s="95">
        <f>'(HIDE) Data Validation'!AQ42</f>
        <v>0</v>
      </c>
      <c r="I7" s="96">
        <f>SUM(C7:H7)</f>
        <v>374227</v>
      </c>
      <c r="K7" s="16"/>
    </row>
    <row r="8" spans="2:11" x14ac:dyDescent="0.25">
      <c r="B8" s="104" t="str">
        <f>"Credit Sales ("&amp;'(HIDE) Data Validation'!A7&amp;")"</f>
        <v>Credit Sales (Burgers)</v>
      </c>
      <c r="C8" s="105">
        <f>'(HIDE) Data Validation'!AL43</f>
        <v>118902</v>
      </c>
      <c r="D8" s="105">
        <f>'(HIDE) Data Validation'!AM43</f>
        <v>77523</v>
      </c>
      <c r="E8" s="105">
        <f>'(HIDE) Data Validation'!AN43</f>
        <v>0</v>
      </c>
      <c r="F8" s="105">
        <f>'(HIDE) Data Validation'!AO43</f>
        <v>0</v>
      </c>
      <c r="G8" s="105">
        <f>'(HIDE) Data Validation'!AP43</f>
        <v>0</v>
      </c>
      <c r="H8" s="105">
        <f>'(HIDE) Data Validation'!AQ43</f>
        <v>0</v>
      </c>
      <c r="I8" s="106">
        <f t="shared" ref="I8:I14" si="0">SUM(C8:H8)</f>
        <v>196425</v>
      </c>
      <c r="K8" s="16"/>
    </row>
    <row r="9" spans="2:11" x14ac:dyDescent="0.25">
      <c r="B9" s="20" t="str">
        <f>"Cash Sales ("&amp;'(HIDE) Data Validation'!B42&amp;")"</f>
        <v>Cash Sales (Hot Chips)</v>
      </c>
      <c r="C9" s="95">
        <f>'(HIDE) Data Validation'!AL44</f>
        <v>36705.199999999997</v>
      </c>
      <c r="D9" s="95">
        <f>'(HIDE) Data Validation'!AM44</f>
        <v>39233.599999999999</v>
      </c>
      <c r="E9" s="95">
        <f>'(HIDE) Data Validation'!AN44</f>
        <v>0</v>
      </c>
      <c r="F9" s="95">
        <f>'(HIDE) Data Validation'!AO44</f>
        <v>0</v>
      </c>
      <c r="G9" s="95">
        <f>'(HIDE) Data Validation'!AP44</f>
        <v>0</v>
      </c>
      <c r="H9" s="95">
        <f>'(HIDE) Data Validation'!AQ44</f>
        <v>0</v>
      </c>
      <c r="I9" s="96">
        <f t="shared" si="0"/>
        <v>75938.799999999988</v>
      </c>
    </row>
    <row r="10" spans="2:11" x14ac:dyDescent="0.25">
      <c r="B10" s="104" t="str">
        <f>"Credit Sales ("&amp;'(HIDE) Data Validation'!B42&amp;")"</f>
        <v>Credit Sales (Hot Chips)</v>
      </c>
      <c r="C10" s="105">
        <f>'(HIDE) Data Validation'!AL45</f>
        <v>24127.200000000001</v>
      </c>
      <c r="D10" s="105">
        <f>'(HIDE) Data Validation'!AM45</f>
        <v>15730.8</v>
      </c>
      <c r="E10" s="105">
        <f>'(HIDE) Data Validation'!AN45</f>
        <v>0</v>
      </c>
      <c r="F10" s="105">
        <f>'(HIDE) Data Validation'!AO45</f>
        <v>0</v>
      </c>
      <c r="G10" s="105">
        <f>'(HIDE) Data Validation'!AP45</f>
        <v>0</v>
      </c>
      <c r="H10" s="105">
        <f>'(HIDE) Data Validation'!AQ45</f>
        <v>0</v>
      </c>
      <c r="I10" s="106">
        <f t="shared" si="0"/>
        <v>39858</v>
      </c>
      <c r="K10" s="159"/>
    </row>
    <row r="11" spans="2:11" x14ac:dyDescent="0.25">
      <c r="B11" s="20" t="s">
        <v>432</v>
      </c>
      <c r="C11" s="95"/>
      <c r="D11" s="95"/>
      <c r="E11" s="95">
        <f>'(HIDE) Data Validation'!$I$62</f>
        <v>0</v>
      </c>
      <c r="F11" s="95">
        <f>'(HIDE) Data Validation'!$I$62</f>
        <v>0</v>
      </c>
      <c r="G11" s="95">
        <f>'(HIDE) Data Validation'!$I$62</f>
        <v>0</v>
      </c>
      <c r="H11" s="95">
        <f>'(HIDE) Data Validation'!$I$62</f>
        <v>0</v>
      </c>
      <c r="I11" s="96">
        <f t="shared" si="0"/>
        <v>0</v>
      </c>
    </row>
    <row r="12" spans="2:11" x14ac:dyDescent="0.25">
      <c r="B12" s="104" t="s">
        <v>683</v>
      </c>
      <c r="C12" s="105">
        <f>'(HIDE) Data Validation'!Z124</f>
        <v>0</v>
      </c>
      <c r="D12" s="105">
        <f>'(HIDE) Data Validation'!AA124</f>
        <v>0</v>
      </c>
      <c r="E12" s="105">
        <f>'(HIDE) Data Validation'!AB124</f>
        <v>0</v>
      </c>
      <c r="F12" s="105">
        <f>'(HIDE) Data Validation'!AC124</f>
        <v>0</v>
      </c>
      <c r="G12" s="105">
        <f>'(HIDE) Data Validation'!AD124</f>
        <v>0</v>
      </c>
      <c r="H12" s="105">
        <f>'(HIDE) Data Validation'!AE124</f>
        <v>0</v>
      </c>
      <c r="I12" s="106">
        <f t="shared" si="0"/>
        <v>0</v>
      </c>
    </row>
    <row r="13" spans="2:11" x14ac:dyDescent="0.25">
      <c r="B13" s="20"/>
      <c r="C13" s="95"/>
      <c r="D13" s="95"/>
      <c r="E13" s="95"/>
      <c r="F13" s="95"/>
      <c r="G13" s="95"/>
      <c r="H13" s="95"/>
      <c r="I13" s="96"/>
    </row>
    <row r="14" spans="2:11" s="7" customFormat="1" ht="15.75" x14ac:dyDescent="0.25">
      <c r="B14" s="107" t="s">
        <v>15</v>
      </c>
      <c r="C14" s="108">
        <f t="shared" ref="C14:H14" si="1">SUM(C7:C13)</f>
        <v>360621.4</v>
      </c>
      <c r="D14" s="108">
        <f t="shared" si="1"/>
        <v>325827.39999999997</v>
      </c>
      <c r="E14" s="108">
        <f t="shared" si="1"/>
        <v>0</v>
      </c>
      <c r="F14" s="108">
        <f t="shared" si="1"/>
        <v>0</v>
      </c>
      <c r="G14" s="108">
        <f t="shared" si="1"/>
        <v>0</v>
      </c>
      <c r="H14" s="108">
        <f t="shared" si="1"/>
        <v>0</v>
      </c>
      <c r="I14" s="108">
        <f t="shared" si="0"/>
        <v>686448.8</v>
      </c>
      <c r="K14" s="17"/>
    </row>
    <row r="15" spans="2:11" x14ac:dyDescent="0.25">
      <c r="B15" s="10"/>
      <c r="C15" s="95"/>
      <c r="D15" s="95"/>
      <c r="E15" s="95"/>
      <c r="F15" s="95"/>
      <c r="G15" s="95"/>
      <c r="H15" s="95"/>
      <c r="I15" s="96"/>
    </row>
    <row r="16" spans="2:11" ht="15.75" x14ac:dyDescent="0.25">
      <c r="B16" s="107" t="s">
        <v>16</v>
      </c>
      <c r="C16" s="105"/>
      <c r="D16" s="105"/>
      <c r="E16" s="105"/>
      <c r="F16" s="105"/>
      <c r="G16" s="105"/>
      <c r="H16" s="105"/>
      <c r="I16" s="106"/>
    </row>
    <row r="17" spans="2:11" x14ac:dyDescent="0.25">
      <c r="B17" s="20" t="str">
        <f>"Food Purchases ("&amp;'(HIDE) Data Validation'!A7&amp;")"</f>
        <v>Food Purchases (Burgers)</v>
      </c>
      <c r="C17" s="95">
        <f>'(HIDE) Data Validation'!AL19</f>
        <v>105143</v>
      </c>
      <c r="D17" s="95">
        <f>'(HIDE) Data Validation'!AM19</f>
        <v>82860</v>
      </c>
      <c r="E17" s="95">
        <f>'(HIDE) Data Validation'!AN19</f>
        <v>0</v>
      </c>
      <c r="F17" s="95">
        <f>'(HIDE) Data Validation'!AO19</f>
        <v>0</v>
      </c>
      <c r="G17" s="95">
        <f>'(HIDE) Data Validation'!AP19</f>
        <v>0</v>
      </c>
      <c r="H17" s="95">
        <f>'(HIDE) Data Validation'!AQ19</f>
        <v>0</v>
      </c>
      <c r="I17" s="96">
        <f t="shared" ref="I17:I31" si="2">SUM(C17:H17)</f>
        <v>188003</v>
      </c>
      <c r="K17" s="16"/>
    </row>
    <row r="18" spans="2:11" x14ac:dyDescent="0.25">
      <c r="B18" s="104" t="str">
        <f>"Food Purchases ("&amp;'(HIDE) Data Validation'!B42&amp;")"</f>
        <v>Food Purchases (Hot Chips)</v>
      </c>
      <c r="C18" s="105">
        <f>ROUND('(HIDE) Data Validation'!AL40,2)</f>
        <v>18668.650000000001</v>
      </c>
      <c r="D18" s="105">
        <f>ROUND('(HIDE) Data Validation'!AM40,2)</f>
        <v>14712.6</v>
      </c>
      <c r="E18" s="105">
        <f>ROUND('(HIDE) Data Validation'!AN40,2)</f>
        <v>0</v>
      </c>
      <c r="F18" s="105">
        <f>ROUND('(HIDE) Data Validation'!AO40,2)</f>
        <v>0</v>
      </c>
      <c r="G18" s="105">
        <f>ROUND('(HIDE) Data Validation'!AP40,2)</f>
        <v>0</v>
      </c>
      <c r="H18" s="105">
        <f>ROUND('(HIDE) Data Validation'!AQ40,2)</f>
        <v>0</v>
      </c>
      <c r="I18" s="106">
        <f t="shared" si="2"/>
        <v>33381.25</v>
      </c>
      <c r="K18" s="16"/>
    </row>
    <row r="19" spans="2:11" x14ac:dyDescent="0.25">
      <c r="B19" s="20" t="s">
        <v>314</v>
      </c>
      <c r="C19" s="95">
        <f>'(HIDE) Data Validation'!AL67</f>
        <v>1086</v>
      </c>
      <c r="D19" s="95">
        <f>'(HIDE) Data Validation'!AM67</f>
        <v>1161</v>
      </c>
      <c r="E19" s="95">
        <f>'(HIDE) Data Validation'!AN67</f>
        <v>0</v>
      </c>
      <c r="F19" s="95">
        <f>'(HIDE) Data Validation'!AO67</f>
        <v>0</v>
      </c>
      <c r="G19" s="95">
        <f>'(HIDE) Data Validation'!AP67</f>
        <v>0</v>
      </c>
      <c r="H19" s="95">
        <f>'(HIDE) Data Validation'!AQ67</f>
        <v>0</v>
      </c>
      <c r="I19" s="96">
        <f t="shared" si="2"/>
        <v>2247</v>
      </c>
      <c r="K19" s="16"/>
    </row>
    <row r="20" spans="2:11" x14ac:dyDescent="0.25">
      <c r="B20" s="104" t="s">
        <v>17</v>
      </c>
      <c r="C20" s="105">
        <f>'(HIDE) Data Validation'!$H$13</f>
        <v>28000</v>
      </c>
      <c r="D20" s="105">
        <f>'(HIDE) Data Validation'!$H$13</f>
        <v>28000</v>
      </c>
      <c r="E20" s="105">
        <f>'(HIDE) Data Validation'!$H$13</f>
        <v>28000</v>
      </c>
      <c r="F20" s="105">
        <f>'(HIDE) Data Validation'!$H$13</f>
        <v>28000</v>
      </c>
      <c r="G20" s="105">
        <f>'(HIDE) Data Validation'!$H$13</f>
        <v>28000</v>
      </c>
      <c r="H20" s="105">
        <f>'(HIDE) Data Validation'!$H$13</f>
        <v>28000</v>
      </c>
      <c r="I20" s="106">
        <f t="shared" si="2"/>
        <v>168000</v>
      </c>
    </row>
    <row r="21" spans="2:11" x14ac:dyDescent="0.25">
      <c r="B21" s="20" t="s">
        <v>18</v>
      </c>
      <c r="C21" s="95">
        <f>'(HIDE) Data Validation'!AB24</f>
        <v>8400</v>
      </c>
      <c r="D21" s="95">
        <f>'(HIDE) Data Validation'!AC24</f>
        <v>8400</v>
      </c>
      <c r="E21" s="95">
        <f>'(HIDE) Data Validation'!AD24</f>
        <v>8400</v>
      </c>
      <c r="F21" s="95">
        <f>'(HIDE) Data Validation'!$D$69</f>
        <v>840</v>
      </c>
      <c r="G21" s="95">
        <f>'(HIDE) Data Validation'!$D$69</f>
        <v>840</v>
      </c>
      <c r="H21" s="95">
        <f>'(HIDE) Data Validation'!$D$69</f>
        <v>840</v>
      </c>
      <c r="I21" s="96">
        <f t="shared" si="2"/>
        <v>27720</v>
      </c>
    </row>
    <row r="22" spans="2:11" x14ac:dyDescent="0.25">
      <c r="B22" s="104" t="s">
        <v>19</v>
      </c>
      <c r="C22" s="105">
        <v>300</v>
      </c>
      <c r="D22" s="105">
        <v>300</v>
      </c>
      <c r="E22" s="105">
        <v>300</v>
      </c>
      <c r="F22" s="105">
        <v>300</v>
      </c>
      <c r="G22" s="105">
        <v>300</v>
      </c>
      <c r="H22" s="105">
        <v>300</v>
      </c>
      <c r="I22" s="106">
        <f t="shared" si="2"/>
        <v>1800</v>
      </c>
    </row>
    <row r="23" spans="2:11" x14ac:dyDescent="0.25">
      <c r="B23" s="20" t="s">
        <v>28</v>
      </c>
      <c r="C23" s="95">
        <f>'(HIDE) Data Validation'!$J$3</f>
        <v>5000</v>
      </c>
      <c r="D23" s="95">
        <f>'(HIDE) Data Validation'!$J$3</f>
        <v>5000</v>
      </c>
      <c r="E23" s="95">
        <f>'(HIDE) Data Validation'!$D$70</f>
        <v>0</v>
      </c>
      <c r="F23" s="95">
        <f>'(HIDE) Data Validation'!$D$70</f>
        <v>0</v>
      </c>
      <c r="G23" s="95">
        <f>'(HIDE) Data Validation'!$D$70</f>
        <v>0</v>
      </c>
      <c r="H23" s="95">
        <f>'(HIDE) Data Validation'!$D$70</f>
        <v>0</v>
      </c>
      <c r="I23" s="96">
        <f t="shared" si="2"/>
        <v>10000</v>
      </c>
    </row>
    <row r="24" spans="2:11" x14ac:dyDescent="0.25">
      <c r="B24" s="104" t="s">
        <v>20</v>
      </c>
      <c r="C24" s="105">
        <v>6800</v>
      </c>
      <c r="D24" s="105">
        <v>6800</v>
      </c>
      <c r="E24" s="105">
        <v>6800</v>
      </c>
      <c r="F24" s="105">
        <v>6800</v>
      </c>
      <c r="G24" s="105">
        <v>6800</v>
      </c>
      <c r="H24" s="105">
        <v>6800</v>
      </c>
      <c r="I24" s="106">
        <f t="shared" si="2"/>
        <v>40800</v>
      </c>
    </row>
    <row r="25" spans="2:11" x14ac:dyDescent="0.25">
      <c r="B25" s="20" t="s">
        <v>21</v>
      </c>
      <c r="C25" s="95">
        <f>'(HIDE) Data Validation'!Z17</f>
        <v>122880</v>
      </c>
      <c r="D25" s="95">
        <f>'(HIDE) Data Validation'!AB17</f>
        <v>87040</v>
      </c>
      <c r="E25" s="95">
        <f>'(HIDE) Data Validation'!AC17</f>
        <v>92160</v>
      </c>
      <c r="F25" s="95">
        <f>'(HIDE) Data Validation'!$I$64</f>
        <v>0</v>
      </c>
      <c r="G25" s="95">
        <f>'(HIDE) Data Validation'!$I$64</f>
        <v>0</v>
      </c>
      <c r="H25" s="95">
        <f>'(HIDE) Data Validation'!$I$64</f>
        <v>0</v>
      </c>
      <c r="I25" s="96">
        <f t="shared" si="2"/>
        <v>302080</v>
      </c>
    </row>
    <row r="26" spans="2:11" x14ac:dyDescent="0.25">
      <c r="B26" s="104" t="s">
        <v>22</v>
      </c>
      <c r="C26" s="105">
        <f>'(HIDE) Data Validation'!Z126</f>
        <v>3366.45</v>
      </c>
      <c r="D26" s="105">
        <f>'(HIDE) Data Validation'!AA126</f>
        <v>3366.45</v>
      </c>
      <c r="E26" s="105">
        <f>'(HIDE) Data Validation'!AB126</f>
        <v>3366.45</v>
      </c>
      <c r="F26" s="105">
        <f>'(HIDE) Data Validation'!AC126</f>
        <v>3366.45</v>
      </c>
      <c r="G26" s="105">
        <f>'(HIDE) Data Validation'!AD126</f>
        <v>3366.45</v>
      </c>
      <c r="H26" s="105">
        <f>'(HIDE) Data Validation'!AE126</f>
        <v>3366.45</v>
      </c>
      <c r="I26" s="106">
        <f t="shared" si="2"/>
        <v>20198.7</v>
      </c>
    </row>
    <row r="27" spans="2:11" x14ac:dyDescent="0.25">
      <c r="B27" s="20" t="s">
        <v>529</v>
      </c>
      <c r="C27" s="95">
        <f>'(HIDE) Data Validation'!AL50</f>
        <v>0</v>
      </c>
      <c r="D27" s="95">
        <f>'(HIDE) Data Validation'!AM50</f>
        <v>0</v>
      </c>
      <c r="E27" s="95">
        <f>'(HIDE) Data Validation'!AN50</f>
        <v>0</v>
      </c>
      <c r="F27" s="95">
        <f>'(HIDE) Data Validation'!AO50</f>
        <v>0</v>
      </c>
      <c r="G27" s="95">
        <f>'(HIDE) Data Validation'!AP50</f>
        <v>0</v>
      </c>
      <c r="H27" s="95">
        <f>'(HIDE) Data Validation'!AQ50</f>
        <v>0</v>
      </c>
      <c r="I27" s="96">
        <f t="shared" si="2"/>
        <v>0</v>
      </c>
    </row>
    <row r="28" spans="2:11" x14ac:dyDescent="0.25">
      <c r="B28" s="104" t="s">
        <v>528</v>
      </c>
      <c r="C28" s="105">
        <f>'(HIDE) Data Validation'!AB36</f>
        <v>0</v>
      </c>
      <c r="D28" s="105">
        <f>'(HIDE) Data Validation'!AC36</f>
        <v>0</v>
      </c>
      <c r="E28" s="105">
        <v>0</v>
      </c>
      <c r="F28" s="105">
        <v>0</v>
      </c>
      <c r="G28" s="105">
        <v>0</v>
      </c>
      <c r="H28" s="105">
        <v>0</v>
      </c>
      <c r="I28" s="106">
        <f t="shared" si="2"/>
        <v>0</v>
      </c>
    </row>
    <row r="29" spans="2:11" x14ac:dyDescent="0.25">
      <c r="B29" s="20" t="s">
        <v>148</v>
      </c>
      <c r="C29" s="95" t="str">
        <f>'(HIDE) Data Validation'!$B$16</f>
        <v/>
      </c>
      <c r="D29" s="95" t="str">
        <f>'(HIDE) Data Validation'!$B$16</f>
        <v/>
      </c>
      <c r="E29" s="95" t="str">
        <f>'(HIDE) Data Validation'!$B$16</f>
        <v/>
      </c>
      <c r="F29" s="95" t="str">
        <f>'(HIDE) Data Validation'!$B$16</f>
        <v/>
      </c>
      <c r="G29" s="95" t="str">
        <f>'(HIDE) Data Validation'!$B$16</f>
        <v/>
      </c>
      <c r="H29" s="95" t="str">
        <f>'(HIDE) Data Validation'!$B$16</f>
        <v/>
      </c>
      <c r="I29" s="96">
        <f t="shared" si="2"/>
        <v>0</v>
      </c>
    </row>
    <row r="30" spans="2:11" x14ac:dyDescent="0.25">
      <c r="B30" s="104" t="str">
        <f>'(HIDE) Data Validation'!K54</f>
        <v/>
      </c>
      <c r="C30" s="105" t="str">
        <f>'(HIDE) Data Validation'!AB65</f>
        <v/>
      </c>
      <c r="D30" s="105" t="str">
        <f>'(HIDE) Data Validation'!AC65</f>
        <v/>
      </c>
      <c r="E30" s="105"/>
      <c r="F30" s="105"/>
      <c r="G30" s="105"/>
      <c r="H30" s="105"/>
      <c r="I30" s="106">
        <f t="shared" si="2"/>
        <v>0</v>
      </c>
    </row>
    <row r="31" spans="2:11" x14ac:dyDescent="0.25">
      <c r="B31" s="20" t="str">
        <f>'(HIDE) Data Validation'!G64</f>
        <v/>
      </c>
      <c r="C31" s="95"/>
      <c r="D31" s="95"/>
      <c r="E31" s="95">
        <f>'(HIDE) Data Validation'!AN65</f>
        <v>0</v>
      </c>
      <c r="F31" s="95">
        <f>'(HIDE) Data Validation'!AO65</f>
        <v>0</v>
      </c>
      <c r="G31" s="95">
        <f>'(HIDE) Data Validation'!AP65</f>
        <v>0</v>
      </c>
      <c r="H31" s="95">
        <f>'(HIDE) Data Validation'!AQ65</f>
        <v>0</v>
      </c>
      <c r="I31" s="96">
        <f t="shared" si="2"/>
        <v>0</v>
      </c>
      <c r="J31" s="16"/>
    </row>
    <row r="32" spans="2:11" s="7" customFormat="1" ht="15.75" x14ac:dyDescent="0.25">
      <c r="B32" s="107" t="s">
        <v>23</v>
      </c>
      <c r="C32" s="108">
        <f t="shared" ref="C32:H32" si="3">SUM(C17:C31)</f>
        <v>299644.10000000003</v>
      </c>
      <c r="D32" s="108">
        <f t="shared" si="3"/>
        <v>237640.05000000002</v>
      </c>
      <c r="E32" s="108">
        <f t="shared" si="3"/>
        <v>139026.45000000001</v>
      </c>
      <c r="F32" s="108">
        <f t="shared" si="3"/>
        <v>39306.449999999997</v>
      </c>
      <c r="G32" s="108">
        <f t="shared" si="3"/>
        <v>39306.449999999997</v>
      </c>
      <c r="H32" s="108">
        <f t="shared" si="3"/>
        <v>39306.449999999997</v>
      </c>
      <c r="I32" s="108">
        <f>SUM(C32:H32)</f>
        <v>794229.95</v>
      </c>
    </row>
    <row r="33" spans="2:11" x14ac:dyDescent="0.25">
      <c r="B33" s="22"/>
      <c r="C33" s="95"/>
      <c r="D33" s="95"/>
      <c r="E33" s="95"/>
      <c r="F33" s="95"/>
      <c r="G33" s="95"/>
      <c r="H33" s="95"/>
      <c r="I33" s="96"/>
      <c r="J33" s="16"/>
    </row>
    <row r="34" spans="2:11" x14ac:dyDescent="0.25">
      <c r="B34" s="110" t="s">
        <v>24</v>
      </c>
      <c r="C34" s="105">
        <f t="shared" ref="C34:H34" si="4">C14-C32</f>
        <v>60977.299999999988</v>
      </c>
      <c r="D34" s="105">
        <f t="shared" si="4"/>
        <v>88187.349999999948</v>
      </c>
      <c r="E34" s="105">
        <f t="shared" si="4"/>
        <v>-139026.45000000001</v>
      </c>
      <c r="F34" s="105">
        <f t="shared" si="4"/>
        <v>-39306.449999999997</v>
      </c>
      <c r="G34" s="105">
        <f t="shared" si="4"/>
        <v>-39306.449999999997</v>
      </c>
      <c r="H34" s="105">
        <f t="shared" si="4"/>
        <v>-39306.449999999997</v>
      </c>
      <c r="I34" s="106">
        <f>SUM(C34:H34)</f>
        <v>-107781.15000000007</v>
      </c>
      <c r="K34" s="16"/>
    </row>
    <row r="35" spans="2:11" x14ac:dyDescent="0.25">
      <c r="B35" s="10"/>
      <c r="C35" s="95"/>
      <c r="D35" s="95"/>
      <c r="E35" s="95"/>
      <c r="F35" s="95"/>
      <c r="G35" s="95"/>
      <c r="H35" s="95"/>
      <c r="I35" s="96"/>
    </row>
    <row r="36" spans="2:11" x14ac:dyDescent="0.25">
      <c r="B36" s="110" t="s">
        <v>25</v>
      </c>
      <c r="C36" s="105">
        <f>'2019 Full Cash Budget'!O40</f>
        <v>282733.35999999993</v>
      </c>
      <c r="D36" s="105">
        <f>C38</f>
        <v>343710.65999999992</v>
      </c>
      <c r="E36" s="105">
        <f>D38</f>
        <v>431898.00999999989</v>
      </c>
      <c r="F36" s="105">
        <f>E38</f>
        <v>292871.55999999988</v>
      </c>
      <c r="G36" s="105">
        <f>F38</f>
        <v>253565.10999999987</v>
      </c>
      <c r="H36" s="105">
        <f>G38</f>
        <v>214258.65999999986</v>
      </c>
      <c r="I36" s="106">
        <f>C36</f>
        <v>282733.35999999993</v>
      </c>
    </row>
    <row r="37" spans="2:11" x14ac:dyDescent="0.25">
      <c r="B37" s="10"/>
      <c r="C37" s="95"/>
      <c r="D37" s="95"/>
      <c r="E37" s="95"/>
      <c r="F37" s="95"/>
      <c r="G37" s="95"/>
      <c r="H37" s="95"/>
      <c r="I37" s="96"/>
    </row>
    <row r="38" spans="2:11" ht="15.75" x14ac:dyDescent="0.25">
      <c r="B38" s="178" t="s">
        <v>26</v>
      </c>
      <c r="C38" s="179">
        <f t="shared" ref="C38:H38" si="5">C36+C34</f>
        <v>343710.65999999992</v>
      </c>
      <c r="D38" s="179">
        <f t="shared" si="5"/>
        <v>431898.00999999989</v>
      </c>
      <c r="E38" s="179">
        <f t="shared" si="5"/>
        <v>292871.55999999988</v>
      </c>
      <c r="F38" s="179">
        <f t="shared" si="5"/>
        <v>253565.10999999987</v>
      </c>
      <c r="G38" s="179">
        <f t="shared" si="5"/>
        <v>214258.65999999986</v>
      </c>
      <c r="H38" s="179">
        <f t="shared" si="5"/>
        <v>174952.20999999985</v>
      </c>
      <c r="I38" s="179">
        <f>H38</f>
        <v>174952.20999999985</v>
      </c>
    </row>
    <row r="40" spans="2:11" ht="26.25" x14ac:dyDescent="0.4">
      <c r="B40" s="369" t="str">
        <f>IF('(HIDE) Data Validation'!B26=0,"","YOU HAVE NOT YET RAISED ENOUGH CAPITAL. YOU STILL NEED $"&amp;TEXT('(HIDE) Data Validation'!B26,"#,##0;;@"))</f>
        <v>YOU HAVE NOT YET RAISED ENOUGH CAPITAL. YOU STILL NEED $275,865</v>
      </c>
      <c r="C40" s="369"/>
      <c r="D40" s="369"/>
      <c r="E40" s="369"/>
      <c r="F40" s="369"/>
      <c r="G40" s="369"/>
      <c r="H40" s="369"/>
      <c r="I40" s="369"/>
    </row>
  </sheetData>
  <sheetProtection password="DBEB" sheet="1" objects="1" scenarios="1" formatColumns="0" formatRows="0" selectLockedCells="1"/>
  <mergeCells count="4">
    <mergeCell ref="B1:I1"/>
    <mergeCell ref="B2:I2"/>
    <mergeCell ref="B3:I3"/>
    <mergeCell ref="B40:I40"/>
  </mergeCells>
  <pageMargins left="0.7" right="0.7" top="0.75" bottom="0.75" header="0.3" footer="0.3"/>
  <pageSetup paperSize="9"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B2:P36"/>
  <sheetViews>
    <sheetView zoomScale="85" zoomScaleNormal="85" workbookViewId="0">
      <selection activeCell="K3" sqref="K3"/>
    </sheetView>
  </sheetViews>
  <sheetFormatPr defaultColWidth="8.85546875" defaultRowHeight="15" x14ac:dyDescent="0.25"/>
  <cols>
    <col min="1" max="1" width="3.7109375" style="1" customWidth="1"/>
    <col min="2" max="2" width="28.28515625" style="1" bestFit="1" customWidth="1"/>
    <col min="3" max="9" width="17" style="1" customWidth="1"/>
    <col min="10" max="10" width="13.28515625" style="1" customWidth="1"/>
    <col min="11" max="16" width="11.7109375" style="1" customWidth="1"/>
    <col min="17" max="16384" width="8.85546875" style="1"/>
  </cols>
  <sheetData>
    <row r="2" spans="2:15" ht="15.75" x14ac:dyDescent="0.25">
      <c r="B2" s="390" t="str">
        <f>IF('Business Setup'!F3="","UNNAMED",'Business Setup'!F3)</f>
        <v>UNNAMED</v>
      </c>
      <c r="C2" s="391"/>
      <c r="D2" s="391"/>
      <c r="E2" s="391"/>
      <c r="F2" s="391"/>
      <c r="G2" s="391"/>
      <c r="H2" s="391"/>
      <c r="I2" s="392"/>
      <c r="J2" s="29"/>
      <c r="K2" s="29"/>
      <c r="L2" s="29"/>
      <c r="M2" s="29"/>
      <c r="N2" s="29"/>
      <c r="O2" s="29"/>
    </row>
    <row r="3" spans="2:15" ht="15.75" x14ac:dyDescent="0.25">
      <c r="B3" s="397" t="s">
        <v>230</v>
      </c>
      <c r="C3" s="398"/>
      <c r="D3" s="398"/>
      <c r="E3" s="398"/>
      <c r="F3" s="398"/>
      <c r="G3" s="398"/>
      <c r="H3" s="398"/>
      <c r="I3" s="399"/>
      <c r="J3" s="29"/>
      <c r="K3" s="160"/>
      <c r="L3" s="29"/>
      <c r="M3" s="29"/>
      <c r="N3" s="29"/>
      <c r="O3" s="29"/>
    </row>
    <row r="4" spans="2:15" ht="15.75" x14ac:dyDescent="0.25">
      <c r="B4" s="397" t="s">
        <v>324</v>
      </c>
      <c r="C4" s="398"/>
      <c r="D4" s="398"/>
      <c r="E4" s="398"/>
      <c r="F4" s="398"/>
      <c r="G4" s="398"/>
      <c r="H4" s="398"/>
      <c r="I4" s="399"/>
      <c r="J4" s="29"/>
      <c r="K4" s="29"/>
      <c r="L4" s="29"/>
      <c r="M4" s="29"/>
      <c r="N4" s="29"/>
      <c r="O4" s="29"/>
    </row>
    <row r="5" spans="2:15" x14ac:dyDescent="0.25">
      <c r="B5" s="122"/>
      <c r="C5" s="19" t="s">
        <v>103</v>
      </c>
      <c r="D5" s="19" t="s">
        <v>104</v>
      </c>
      <c r="E5" s="19" t="s">
        <v>105</v>
      </c>
      <c r="F5" s="19" t="s">
        <v>107</v>
      </c>
      <c r="G5" s="19" t="s">
        <v>5</v>
      </c>
      <c r="H5" s="19" t="s">
        <v>108</v>
      </c>
      <c r="I5" s="19" t="s">
        <v>216</v>
      </c>
      <c r="J5" s="7"/>
      <c r="K5" s="7"/>
      <c r="L5" s="7"/>
      <c r="M5" s="7"/>
      <c r="N5" s="7"/>
    </row>
    <row r="6" spans="2:15" x14ac:dyDescent="0.25">
      <c r="B6" s="127"/>
      <c r="C6" s="128" t="s">
        <v>38</v>
      </c>
      <c r="D6" s="128" t="s">
        <v>38</v>
      </c>
      <c r="E6" s="128" t="s">
        <v>38</v>
      </c>
      <c r="F6" s="128" t="s">
        <v>38</v>
      </c>
      <c r="G6" s="128" t="s">
        <v>38</v>
      </c>
      <c r="H6" s="128" t="s">
        <v>38</v>
      </c>
      <c r="I6" s="128" t="s">
        <v>38</v>
      </c>
      <c r="J6" s="7"/>
      <c r="K6" s="7"/>
      <c r="L6" s="7"/>
      <c r="M6" s="7"/>
      <c r="N6" s="7"/>
    </row>
    <row r="7" spans="2:15" x14ac:dyDescent="0.25">
      <c r="B7" s="120" t="s">
        <v>214</v>
      </c>
      <c r="C7" s="95">
        <f>C31+C19</f>
        <v>30429.15</v>
      </c>
      <c r="D7" s="95">
        <f>C10</f>
        <v>32524.2</v>
      </c>
      <c r="E7" s="95">
        <f>D10</f>
        <v>0</v>
      </c>
      <c r="F7" s="95">
        <f>E10</f>
        <v>0</v>
      </c>
      <c r="G7" s="95">
        <f>F10</f>
        <v>0</v>
      </c>
      <c r="H7" s="95">
        <f>G10</f>
        <v>0</v>
      </c>
      <c r="I7" s="96">
        <f>C7</f>
        <v>30429.15</v>
      </c>
      <c r="J7" s="16"/>
      <c r="K7" s="16"/>
      <c r="L7" s="16"/>
      <c r="M7" s="16"/>
      <c r="N7" s="16"/>
    </row>
    <row r="8" spans="2:15" x14ac:dyDescent="0.25">
      <c r="B8" s="129" t="s">
        <v>212</v>
      </c>
      <c r="C8" s="105">
        <f>C32+C20</f>
        <v>123811.65</v>
      </c>
      <c r="D8" s="105">
        <f t="shared" ref="D8:H9" si="0">D32+D20</f>
        <v>97572.6</v>
      </c>
      <c r="E8" s="105">
        <f t="shared" si="0"/>
        <v>0</v>
      </c>
      <c r="F8" s="105">
        <f t="shared" si="0"/>
        <v>0</v>
      </c>
      <c r="G8" s="105">
        <f t="shared" si="0"/>
        <v>0</v>
      </c>
      <c r="H8" s="105">
        <f t="shared" si="0"/>
        <v>0</v>
      </c>
      <c r="I8" s="106">
        <f>SUM(C8:H8)</f>
        <v>221384.25</v>
      </c>
      <c r="J8" s="16"/>
      <c r="K8" s="16"/>
      <c r="L8" s="16"/>
      <c r="M8" s="16"/>
      <c r="N8" s="16"/>
    </row>
    <row r="9" spans="2:15" x14ac:dyDescent="0.25">
      <c r="B9" s="47" t="s">
        <v>215</v>
      </c>
      <c r="C9" s="95">
        <f>C33+C21</f>
        <v>121716.6</v>
      </c>
      <c r="D9" s="95">
        <f t="shared" si="0"/>
        <v>130096.8</v>
      </c>
      <c r="E9" s="95">
        <f t="shared" si="0"/>
        <v>0</v>
      </c>
      <c r="F9" s="95">
        <f t="shared" si="0"/>
        <v>0</v>
      </c>
      <c r="G9" s="95">
        <f t="shared" si="0"/>
        <v>0</v>
      </c>
      <c r="H9" s="95">
        <f t="shared" si="0"/>
        <v>0</v>
      </c>
      <c r="I9" s="96">
        <f>SUM(C9:H9)</f>
        <v>251813.40000000002</v>
      </c>
      <c r="J9" s="16"/>
      <c r="K9" s="16"/>
      <c r="L9" s="16"/>
      <c r="M9" s="16"/>
      <c r="N9" s="16"/>
    </row>
    <row r="10" spans="2:15" x14ac:dyDescent="0.25">
      <c r="B10" s="129" t="s">
        <v>217</v>
      </c>
      <c r="C10" s="105">
        <f t="shared" ref="C10:H10" si="1">ROUND(C7+C8-C9,2)</f>
        <v>32524.2</v>
      </c>
      <c r="D10" s="105">
        <f t="shared" si="1"/>
        <v>0</v>
      </c>
      <c r="E10" s="105">
        <f t="shared" si="1"/>
        <v>0</v>
      </c>
      <c r="F10" s="105">
        <f t="shared" si="1"/>
        <v>0</v>
      </c>
      <c r="G10" s="105">
        <f t="shared" si="1"/>
        <v>0</v>
      </c>
      <c r="H10" s="105">
        <f t="shared" si="1"/>
        <v>0</v>
      </c>
      <c r="I10" s="106">
        <f>H10</f>
        <v>0</v>
      </c>
      <c r="J10" s="16"/>
      <c r="K10" s="16"/>
      <c r="L10" s="16"/>
      <c r="M10" s="16"/>
      <c r="N10" s="16"/>
    </row>
    <row r="11" spans="2:15" x14ac:dyDescent="0.25">
      <c r="B11" s="23"/>
      <c r="C11" s="100"/>
      <c r="D11" s="100"/>
      <c r="E11" s="100"/>
      <c r="F11" s="100"/>
      <c r="G11" s="100"/>
      <c r="H11" s="100"/>
      <c r="I11" s="100"/>
    </row>
    <row r="12" spans="2:15" ht="18.75" x14ac:dyDescent="0.3">
      <c r="F12" s="393" t="s">
        <v>318</v>
      </c>
      <c r="G12" s="393"/>
      <c r="H12" s="393"/>
      <c r="I12" s="130">
        <f>AVERAGE(C10:H10)</f>
        <v>5420.7</v>
      </c>
    </row>
    <row r="14" spans="2:15" ht="15.75" x14ac:dyDescent="0.25">
      <c r="B14" s="390" t="str">
        <f>IF('Business Setup'!F3="","UNNAMED",'Business Setup'!F3)</f>
        <v>UNNAMED</v>
      </c>
      <c r="C14" s="391"/>
      <c r="D14" s="391"/>
      <c r="E14" s="391"/>
      <c r="F14" s="391"/>
      <c r="G14" s="391"/>
      <c r="H14" s="391"/>
      <c r="I14" s="392"/>
      <c r="J14" s="29"/>
      <c r="K14" s="29"/>
      <c r="L14" s="29"/>
      <c r="M14" s="29"/>
      <c r="N14" s="29"/>
      <c r="O14" s="29"/>
    </row>
    <row r="15" spans="2:15" ht="15.75" x14ac:dyDescent="0.25">
      <c r="B15" s="397" t="str">
        <f>'(HIDE) Data Validation'!A7&amp;" Monthly Inventory Report"</f>
        <v>Burgers Monthly Inventory Report</v>
      </c>
      <c r="C15" s="398"/>
      <c r="D15" s="398"/>
      <c r="E15" s="398"/>
      <c r="F15" s="398"/>
      <c r="G15" s="398"/>
      <c r="H15" s="398"/>
      <c r="I15" s="399"/>
      <c r="J15" s="29"/>
      <c r="K15" s="29"/>
      <c r="L15" s="29"/>
      <c r="M15" s="29"/>
      <c r="N15" s="29"/>
      <c r="O15" s="29"/>
    </row>
    <row r="16" spans="2:15" ht="15.75" x14ac:dyDescent="0.25">
      <c r="B16" s="397" t="s">
        <v>324</v>
      </c>
      <c r="C16" s="398"/>
      <c r="D16" s="398"/>
      <c r="E16" s="398"/>
      <c r="F16" s="398"/>
      <c r="G16" s="398"/>
      <c r="H16" s="398"/>
      <c r="I16" s="399"/>
      <c r="J16" s="29"/>
      <c r="K16" s="29"/>
      <c r="L16" s="29"/>
      <c r="M16" s="29"/>
      <c r="N16" s="29"/>
      <c r="O16" s="29"/>
    </row>
    <row r="17" spans="2:16" x14ac:dyDescent="0.25">
      <c r="B17" s="122"/>
      <c r="C17" s="19" t="s">
        <v>103</v>
      </c>
      <c r="D17" s="19" t="s">
        <v>104</v>
      </c>
      <c r="E17" s="19" t="s">
        <v>105</v>
      </c>
      <c r="F17" s="19" t="s">
        <v>107</v>
      </c>
      <c r="G17" s="19" t="s">
        <v>5</v>
      </c>
      <c r="H17" s="19" t="s">
        <v>108</v>
      </c>
      <c r="I17" s="19" t="s">
        <v>216</v>
      </c>
      <c r="J17" s="7"/>
      <c r="K17" s="7"/>
      <c r="L17" s="7"/>
      <c r="M17" s="7"/>
      <c r="N17" s="7"/>
    </row>
    <row r="18" spans="2:16" x14ac:dyDescent="0.25">
      <c r="B18" s="127"/>
      <c r="C18" s="128" t="s">
        <v>38</v>
      </c>
      <c r="D18" s="128" t="s">
        <v>38</v>
      </c>
      <c r="E18" s="128" t="s">
        <v>38</v>
      </c>
      <c r="F18" s="128" t="s">
        <v>38</v>
      </c>
      <c r="G18" s="128" t="s">
        <v>38</v>
      </c>
      <c r="H18" s="128" t="s">
        <v>38</v>
      </c>
      <c r="I18" s="128" t="s">
        <v>38</v>
      </c>
      <c r="J18" s="7"/>
      <c r="K18" s="7"/>
      <c r="L18" s="7"/>
      <c r="M18" s="7"/>
      <c r="N18" s="7"/>
    </row>
    <row r="19" spans="2:16" x14ac:dyDescent="0.25">
      <c r="B19" s="120" t="s">
        <v>214</v>
      </c>
      <c r="C19" s="95">
        <f>'2019 Inventory Rpt'!N23</f>
        <v>25841</v>
      </c>
      <c r="D19" s="95">
        <f>C22</f>
        <v>27620</v>
      </c>
      <c r="E19" s="95">
        <f>D22</f>
        <v>0</v>
      </c>
      <c r="F19" s="95">
        <f>E22</f>
        <v>0</v>
      </c>
      <c r="G19" s="95">
        <f>F22</f>
        <v>0</v>
      </c>
      <c r="H19" s="95">
        <f>G22</f>
        <v>0</v>
      </c>
      <c r="I19" s="96">
        <f>C19</f>
        <v>25841</v>
      </c>
      <c r="J19" s="16"/>
      <c r="K19" s="16"/>
      <c r="L19" s="16"/>
      <c r="M19" s="16"/>
      <c r="N19" s="16"/>
    </row>
    <row r="20" spans="2:16" x14ac:dyDescent="0.25">
      <c r="B20" s="129" t="s">
        <v>212</v>
      </c>
      <c r="C20" s="105">
        <f>'(HIDE) Data Validation'!AL19</f>
        <v>105143</v>
      </c>
      <c r="D20" s="105">
        <f>'(HIDE) Data Validation'!AM19</f>
        <v>82860</v>
      </c>
      <c r="E20" s="105">
        <f>'(HIDE) Data Validation'!AN19</f>
        <v>0</v>
      </c>
      <c r="F20" s="105">
        <f>'(HIDE) Data Validation'!AO19</f>
        <v>0</v>
      </c>
      <c r="G20" s="105">
        <f>'(HIDE) Data Validation'!AP19</f>
        <v>0</v>
      </c>
      <c r="H20" s="105">
        <f>'(HIDE) Data Validation'!AR19</f>
        <v>0</v>
      </c>
      <c r="I20" s="106">
        <f>SUM(C20:H20)</f>
        <v>188003</v>
      </c>
      <c r="J20" s="16"/>
      <c r="K20" s="16"/>
      <c r="L20" s="16"/>
      <c r="M20" s="16"/>
      <c r="N20" s="16"/>
    </row>
    <row r="21" spans="2:16" x14ac:dyDescent="0.25">
      <c r="B21" s="47" t="s">
        <v>215</v>
      </c>
      <c r="C21" s="95">
        <f>'(HIDE) Data Validation'!AL18</f>
        <v>103364</v>
      </c>
      <c r="D21" s="95">
        <f>'(HIDE) Data Validation'!AM18</f>
        <v>110480</v>
      </c>
      <c r="E21" s="95">
        <f>'(HIDE) Data Validation'!AN18</f>
        <v>0</v>
      </c>
      <c r="F21" s="95">
        <f>'(HIDE) Data Validation'!AO18</f>
        <v>0</v>
      </c>
      <c r="G21" s="95">
        <f>'(HIDE) Data Validation'!AP18</f>
        <v>0</v>
      </c>
      <c r="H21" s="95">
        <f>'(HIDE) Data Validation'!AQ18</f>
        <v>0</v>
      </c>
      <c r="I21" s="96">
        <f>SUM(C21:H21)</f>
        <v>213844</v>
      </c>
      <c r="J21" s="16"/>
      <c r="K21" s="16"/>
      <c r="L21" s="16"/>
      <c r="M21" s="16"/>
      <c r="N21" s="16"/>
    </row>
    <row r="22" spans="2:16" x14ac:dyDescent="0.25">
      <c r="B22" s="129" t="s">
        <v>217</v>
      </c>
      <c r="C22" s="105">
        <f t="shared" ref="C22:H22" si="2">C19+C20-C21</f>
        <v>27620</v>
      </c>
      <c r="D22" s="105">
        <f t="shared" si="2"/>
        <v>0</v>
      </c>
      <c r="E22" s="105">
        <f t="shared" si="2"/>
        <v>0</v>
      </c>
      <c r="F22" s="105">
        <f t="shared" si="2"/>
        <v>0</v>
      </c>
      <c r="G22" s="105">
        <f t="shared" si="2"/>
        <v>0</v>
      </c>
      <c r="H22" s="105">
        <f t="shared" si="2"/>
        <v>0</v>
      </c>
      <c r="I22" s="106">
        <f>H22</f>
        <v>0</v>
      </c>
      <c r="J22" s="16"/>
      <c r="K22" s="16"/>
      <c r="L22" s="16"/>
      <c r="M22" s="16"/>
      <c r="N22" s="16"/>
    </row>
    <row r="23" spans="2:16" x14ac:dyDescent="0.25">
      <c r="B23" s="23"/>
      <c r="C23" s="100"/>
      <c r="D23" s="100"/>
      <c r="E23" s="100"/>
      <c r="F23" s="100"/>
      <c r="G23" s="100"/>
      <c r="H23" s="100"/>
      <c r="I23" s="100"/>
    </row>
    <row r="24" spans="2:16" ht="18.75" x14ac:dyDescent="0.3">
      <c r="F24" s="393" t="str">
        <f>"Average "&amp;'(HIDE) Data Validation'!A7&amp;" Inventory"</f>
        <v>Average Burgers Inventory</v>
      </c>
      <c r="G24" s="393"/>
      <c r="H24" s="393"/>
      <c r="I24" s="130">
        <f>AVERAGE(C22:H22)</f>
        <v>4603.333333333333</v>
      </c>
    </row>
    <row r="25" spans="2:16" ht="15.75" x14ac:dyDescent="0.25">
      <c r="L25" s="66"/>
      <c r="M25" s="66"/>
      <c r="N25" s="66"/>
      <c r="O25" s="16"/>
    </row>
    <row r="26" spans="2:16" ht="15.75" x14ac:dyDescent="0.25">
      <c r="B26" s="390" t="str">
        <f>IF('Business Setup'!F3="","UNNAMED",'Business Setup'!F3)</f>
        <v>UNNAMED</v>
      </c>
      <c r="C26" s="391"/>
      <c r="D26" s="391"/>
      <c r="E26" s="391"/>
      <c r="F26" s="391"/>
      <c r="G26" s="391"/>
      <c r="H26" s="391"/>
      <c r="I26" s="392"/>
    </row>
    <row r="27" spans="2:16" ht="15.75" x14ac:dyDescent="0.25">
      <c r="B27" s="397" t="str">
        <f>'(HIDE) Data Validation'!B42&amp;" Monthly Inventory Report"</f>
        <v>Hot Chips Monthly Inventory Report</v>
      </c>
      <c r="C27" s="398"/>
      <c r="D27" s="398"/>
      <c r="E27" s="398"/>
      <c r="F27" s="398"/>
      <c r="G27" s="398"/>
      <c r="H27" s="398"/>
      <c r="I27" s="399"/>
      <c r="K27" s="387" t="str">
        <f>IF('(HIDE) Data Validation'!B26=0,"","YOU HAVE NOT YET RAISED ENOUGH CAPITAL. YOU STILL NEED $"&amp;TEXT('(HIDE) Data Validation'!B26,"#,##0;;@"))</f>
        <v>YOU HAVE NOT YET RAISED ENOUGH CAPITAL. YOU STILL NEED $275,865</v>
      </c>
      <c r="L27" s="387"/>
      <c r="M27" s="387"/>
      <c r="N27" s="387"/>
      <c r="O27" s="387"/>
      <c r="P27" s="387"/>
    </row>
    <row r="28" spans="2:16" ht="15.75" x14ac:dyDescent="0.25">
      <c r="B28" s="397" t="s">
        <v>324</v>
      </c>
      <c r="C28" s="398"/>
      <c r="D28" s="398"/>
      <c r="E28" s="398"/>
      <c r="F28" s="398"/>
      <c r="G28" s="398"/>
      <c r="H28" s="398"/>
      <c r="I28" s="399"/>
      <c r="K28" s="387"/>
      <c r="L28" s="387"/>
      <c r="M28" s="387"/>
      <c r="N28" s="387"/>
      <c r="O28" s="387"/>
      <c r="P28" s="387"/>
    </row>
    <row r="29" spans="2:16" x14ac:dyDescent="0.25">
      <c r="B29" s="122"/>
      <c r="C29" s="19" t="s">
        <v>103</v>
      </c>
      <c r="D29" s="19" t="s">
        <v>104</v>
      </c>
      <c r="E29" s="19" t="s">
        <v>105</v>
      </c>
      <c r="F29" s="19" t="s">
        <v>107</v>
      </c>
      <c r="G29" s="19" t="s">
        <v>5</v>
      </c>
      <c r="H29" s="19" t="s">
        <v>108</v>
      </c>
      <c r="I29" s="19" t="s">
        <v>216</v>
      </c>
      <c r="K29" s="387"/>
      <c r="L29" s="387"/>
      <c r="M29" s="387"/>
      <c r="N29" s="387"/>
      <c r="O29" s="387"/>
      <c r="P29" s="387"/>
    </row>
    <row r="30" spans="2:16" x14ac:dyDescent="0.25">
      <c r="B30" s="127"/>
      <c r="C30" s="128" t="s">
        <v>38</v>
      </c>
      <c r="D30" s="128" t="s">
        <v>38</v>
      </c>
      <c r="E30" s="128" t="s">
        <v>38</v>
      </c>
      <c r="F30" s="128" t="s">
        <v>38</v>
      </c>
      <c r="G30" s="128" t="s">
        <v>38</v>
      </c>
      <c r="H30" s="128" t="s">
        <v>38</v>
      </c>
      <c r="I30" s="128" t="s">
        <v>38</v>
      </c>
      <c r="K30" s="387"/>
      <c r="L30" s="387"/>
      <c r="M30" s="387"/>
      <c r="N30" s="387"/>
      <c r="O30" s="387"/>
      <c r="P30" s="387"/>
    </row>
    <row r="31" spans="2:16" x14ac:dyDescent="0.25">
      <c r="B31" s="120" t="s">
        <v>214</v>
      </c>
      <c r="C31" s="95">
        <f>'2019 Inventory Rpt'!I34</f>
        <v>4588.1500000000015</v>
      </c>
      <c r="D31" s="95">
        <f>C34</f>
        <v>4904.2000000000007</v>
      </c>
      <c r="E31" s="95">
        <f>D34</f>
        <v>0</v>
      </c>
      <c r="F31" s="95">
        <f>E34</f>
        <v>0</v>
      </c>
      <c r="G31" s="95">
        <f>F34</f>
        <v>0</v>
      </c>
      <c r="H31" s="95">
        <f>G34</f>
        <v>0</v>
      </c>
      <c r="I31" s="96">
        <f>C31</f>
        <v>4588.1500000000015</v>
      </c>
      <c r="K31" s="387"/>
      <c r="L31" s="387"/>
      <c r="M31" s="387"/>
      <c r="N31" s="387"/>
      <c r="O31" s="387"/>
      <c r="P31" s="387"/>
    </row>
    <row r="32" spans="2:16" x14ac:dyDescent="0.25">
      <c r="B32" s="129" t="s">
        <v>212</v>
      </c>
      <c r="C32" s="105">
        <f>'(HIDE) Data Validation'!AL40</f>
        <v>18668.649999999998</v>
      </c>
      <c r="D32" s="105">
        <f>'(HIDE) Data Validation'!AM40</f>
        <v>14712.599999999999</v>
      </c>
      <c r="E32" s="105">
        <f>'(HIDE) Data Validation'!AN40</f>
        <v>0</v>
      </c>
      <c r="F32" s="105">
        <f>'(HIDE) Data Validation'!AO40</f>
        <v>0</v>
      </c>
      <c r="G32" s="105">
        <f>'(HIDE) Data Validation'!AP40</f>
        <v>0</v>
      </c>
      <c r="H32" s="105">
        <f>'(HIDE) Data Validation'!AR40</f>
        <v>0</v>
      </c>
      <c r="I32" s="106">
        <f>SUM(C32:H32)</f>
        <v>33381.25</v>
      </c>
      <c r="K32" s="387"/>
      <c r="L32" s="387"/>
      <c r="M32" s="387"/>
      <c r="N32" s="387"/>
      <c r="O32" s="387"/>
      <c r="P32" s="387"/>
    </row>
    <row r="33" spans="2:16" x14ac:dyDescent="0.25">
      <c r="B33" s="47" t="s">
        <v>215</v>
      </c>
      <c r="C33" s="95">
        <f>'(HIDE) Data Validation'!AL30</f>
        <v>18352.599999999999</v>
      </c>
      <c r="D33" s="95">
        <f>'(HIDE) Data Validation'!AM30</f>
        <v>19616.8</v>
      </c>
      <c r="E33" s="95">
        <f>'(HIDE) Data Validation'!AN31</f>
        <v>0</v>
      </c>
      <c r="F33" s="95">
        <f>'(HIDE) Data Validation'!AO31</f>
        <v>0</v>
      </c>
      <c r="G33" s="95">
        <f>'(HIDE) Data Validation'!AP31</f>
        <v>0</v>
      </c>
      <c r="H33" s="95">
        <f>'(HIDE) Data Validation'!AQ31</f>
        <v>0</v>
      </c>
      <c r="I33" s="96">
        <f>SUM(C33:H33)</f>
        <v>37969.399999999994</v>
      </c>
      <c r="K33" s="387"/>
      <c r="L33" s="387"/>
      <c r="M33" s="387"/>
      <c r="N33" s="387"/>
      <c r="O33" s="387"/>
      <c r="P33" s="387"/>
    </row>
    <row r="34" spans="2:16" x14ac:dyDescent="0.25">
      <c r="B34" s="129" t="s">
        <v>217</v>
      </c>
      <c r="C34" s="105">
        <f t="shared" ref="C34:H34" si="3">C31+C32-C33</f>
        <v>4904.2000000000007</v>
      </c>
      <c r="D34" s="105">
        <f t="shared" si="3"/>
        <v>0</v>
      </c>
      <c r="E34" s="105">
        <f t="shared" si="3"/>
        <v>0</v>
      </c>
      <c r="F34" s="105">
        <f t="shared" si="3"/>
        <v>0</v>
      </c>
      <c r="G34" s="105">
        <f t="shared" si="3"/>
        <v>0</v>
      </c>
      <c r="H34" s="105">
        <f t="shared" si="3"/>
        <v>0</v>
      </c>
      <c r="I34" s="106">
        <f>H34</f>
        <v>0</v>
      </c>
    </row>
    <row r="35" spans="2:16" x14ac:dyDescent="0.25">
      <c r="B35" s="23"/>
      <c r="C35" s="100"/>
      <c r="D35" s="100"/>
      <c r="E35" s="100"/>
      <c r="F35" s="100"/>
      <c r="G35" s="100"/>
      <c r="H35" s="100"/>
      <c r="I35" s="100"/>
    </row>
    <row r="36" spans="2:16" ht="18.75" x14ac:dyDescent="0.3">
      <c r="F36" s="393" t="str">
        <f>"Average "&amp;'(HIDE) Data Validation'!B42&amp;" Inventory"</f>
        <v>Average Hot Chips Inventory</v>
      </c>
      <c r="G36" s="393"/>
      <c r="H36" s="393"/>
      <c r="I36" s="130">
        <f>AVERAGE(C34:H34)</f>
        <v>817.36666666666679</v>
      </c>
    </row>
  </sheetData>
  <sheetProtection password="DBEB" sheet="1" objects="1" scenarios="1" formatColumns="0" formatRows="0" selectLockedCells="1"/>
  <mergeCells count="13">
    <mergeCell ref="K27:P33"/>
    <mergeCell ref="F24:H24"/>
    <mergeCell ref="B26:I26"/>
    <mergeCell ref="B27:I27"/>
    <mergeCell ref="B14:I14"/>
    <mergeCell ref="B15:I15"/>
    <mergeCell ref="B16:I16"/>
    <mergeCell ref="B28:I28"/>
    <mergeCell ref="F36:H36"/>
    <mergeCell ref="F12:H12"/>
    <mergeCell ref="B2:I2"/>
    <mergeCell ref="B3:I3"/>
    <mergeCell ref="B4:I4"/>
  </mergeCells>
  <pageMargins left="0.7" right="0.7" top="0.75" bottom="0.75" header="0.3" footer="0.3"/>
  <pageSetup paperSize="9"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P28"/>
  <sheetViews>
    <sheetView workbookViewId="0">
      <selection activeCell="C3" sqref="C3"/>
    </sheetView>
  </sheetViews>
  <sheetFormatPr defaultColWidth="8.85546875" defaultRowHeight="15" x14ac:dyDescent="0.25"/>
  <cols>
    <col min="1" max="16384" width="8.85546875" style="1"/>
  </cols>
  <sheetData>
    <row r="1" spans="1:16" ht="70.150000000000006" customHeight="1" x14ac:dyDescent="0.25"/>
    <row r="2" spans="1:16" ht="46.15" customHeight="1" x14ac:dyDescent="0.25">
      <c r="F2" s="414" t="s">
        <v>701</v>
      </c>
      <c r="G2" s="414"/>
      <c r="H2" s="414"/>
      <c r="I2" s="414"/>
      <c r="J2" s="414"/>
      <c r="K2" s="414"/>
      <c r="L2" s="414"/>
      <c r="M2" s="414"/>
      <c r="N2" s="414"/>
      <c r="O2" s="414"/>
      <c r="P2" s="414"/>
    </row>
    <row r="3" spans="1:16" ht="71.650000000000006" customHeight="1" x14ac:dyDescent="0.25">
      <c r="C3" s="158"/>
      <c r="F3" s="413" t="s">
        <v>513</v>
      </c>
      <c r="G3" s="413"/>
      <c r="H3" s="413"/>
      <c r="I3" s="413"/>
      <c r="J3" s="413"/>
      <c r="K3" s="413"/>
      <c r="L3" s="413"/>
      <c r="M3" s="413"/>
      <c r="N3" s="413"/>
      <c r="O3" s="413"/>
      <c r="P3" s="413"/>
    </row>
    <row r="4" spans="1:16" ht="53.65" customHeight="1" x14ac:dyDescent="0.25">
      <c r="F4" s="413" t="str">
        <f>"As "&amp;IF('Business Setup'!F3="","UNNAMED",'Business Setup'!F3)&amp;" is situated in "&amp;'(HIDE) Data Validation'!E92&amp;" the starting foot traffic in July will be "&amp;'(HIDE) Data Validation'!E89*100&amp;"% of pre-covid levels and will increase by "&amp;'(HIDE) Data Validation'!E90*100&amp;"% per month. It will be up to you to decide when to open up your business up to dine-in customers again. Staff levels will automatically be adjusted as required"</f>
        <v>As UNNAMED is situated in the CBD the starting foot traffic in July will be 5% of pre-covid levels and will increase by 5% per month. It will be up to you to decide when to open up your business up to dine-in customers again. Staff levels will automatically be adjusted as required</v>
      </c>
      <c r="G4" s="413"/>
      <c r="H4" s="413"/>
      <c r="I4" s="413"/>
      <c r="J4" s="413"/>
      <c r="K4" s="413"/>
      <c r="L4" s="413"/>
      <c r="M4" s="413"/>
      <c r="N4" s="413"/>
      <c r="O4" s="413"/>
      <c r="P4" s="413"/>
    </row>
    <row r="5" spans="1:16" ht="38.25" customHeight="1" x14ac:dyDescent="0.25">
      <c r="A5" s="251" t="s">
        <v>458</v>
      </c>
      <c r="F5" s="413" t="s">
        <v>463</v>
      </c>
      <c r="G5" s="413"/>
      <c r="H5" s="413"/>
      <c r="I5" s="413"/>
      <c r="J5" s="413"/>
      <c r="K5" s="413"/>
      <c r="L5" s="413"/>
      <c r="M5" s="413"/>
      <c r="N5" s="413"/>
      <c r="O5" s="413"/>
      <c r="P5" s="413"/>
    </row>
    <row r="8" spans="1:16" x14ac:dyDescent="0.25">
      <c r="E8" s="1" t="str">
        <f>"Dine-in sales will be "&amp;('(HIDE) Data Validation'!E89)*100&amp;"% of pre-covid levels"</f>
        <v>Dine-in sales will be 5% of pre-covid levels</v>
      </c>
    </row>
    <row r="9" spans="1:16" x14ac:dyDescent="0.25">
      <c r="E9" s="1" t="str">
        <f>"Take-away and delivery sales will be " &amp;'(HIDE) Data Validation'!BG6*100&amp;"% of June levels"</f>
        <v>Take-away and delivery sales will be 90% of June levels</v>
      </c>
    </row>
    <row r="11" spans="1:16" x14ac:dyDescent="0.25">
      <c r="E11" s="1" t="str">
        <f>"Dine-in sales will be "&amp;('(HIDE) Data Validation'!E89+'(HIDE) Data Validation'!E90*1)*100&amp;"% of pre-covid levels"</f>
        <v>Dine-in sales will be 10% of pre-covid levels</v>
      </c>
    </row>
    <row r="12" spans="1:16" x14ac:dyDescent="0.25">
      <c r="E12" s="1" t="str">
        <f>"Take-away and delivery sales will be " &amp;'(HIDE) Data Validation'!BH6*100&amp;"% of June levels"</f>
        <v>Take-away and delivery sales will be 80% of June levels</v>
      </c>
    </row>
    <row r="14" spans="1:16" x14ac:dyDescent="0.25">
      <c r="E14" s="1" t="str">
        <f>"Dine-in sales will be "&amp;('(HIDE) Data Validation'!E89+'(HIDE) Data Validation'!E90*2)*100&amp;"% of pre-covid levels"</f>
        <v>Dine-in sales will be 15% of pre-covid levels</v>
      </c>
    </row>
    <row r="15" spans="1:16" x14ac:dyDescent="0.25">
      <c r="C15" s="6"/>
      <c r="E15" s="1" t="str">
        <f>"Take-away and delivery sales will be " &amp;'(HIDE) Data Validation'!BI6*100&amp;"% of June levels"</f>
        <v>Take-away and delivery sales will be 70% of June levels</v>
      </c>
    </row>
    <row r="16" spans="1:16" x14ac:dyDescent="0.25">
      <c r="D16" s="6" t="s">
        <v>459</v>
      </c>
    </row>
    <row r="18" spans="5:5" x14ac:dyDescent="0.25">
      <c r="E18" s="1" t="str">
        <f>"Dine-in sales will be "&amp;('(HIDE) Data Validation'!E89+'(HIDE) Data Validation'!E90*3)*100&amp;"% of pre-covid levels"</f>
        <v>Dine-in sales will be 20% of pre-covid levels</v>
      </c>
    </row>
    <row r="19" spans="5:5" x14ac:dyDescent="0.25">
      <c r="E19" s="1" t="str">
        <f>"Take-away and delivery sales will be " &amp;'(HIDE) Data Validation'!BJ6*100&amp;"% of June levels"</f>
        <v>Take-away and delivery sales will be 60% of June levels</v>
      </c>
    </row>
    <row r="21" spans="5:5" x14ac:dyDescent="0.25">
      <c r="E21" s="1" t="str">
        <f>"Dine-in sales will be "&amp;('(HIDE) Data Validation'!E89+'(HIDE) Data Validation'!E90*4)*100&amp;"% of pre-covid levels"</f>
        <v>Dine-in sales will be 25% of pre-covid levels</v>
      </c>
    </row>
    <row r="22" spans="5:5" x14ac:dyDescent="0.25">
      <c r="E22" s="1" t="str">
        <f>"Take-away and delivery sales will be " &amp;'(HIDE) Data Validation'!BK6*100&amp;"% of June levels"</f>
        <v>Take-away and delivery sales will be 50% of June levels</v>
      </c>
    </row>
    <row r="24" spans="5:5" x14ac:dyDescent="0.25">
      <c r="E24" s="1" t="str">
        <f>"Dine-in sales will be "&amp;('(HIDE) Data Validation'!E89+'(HIDE) Data Validation'!E90*5)*100&amp;"% of pre-covid levels"</f>
        <v>Dine-in sales will be 30% of pre-covid levels</v>
      </c>
    </row>
    <row r="25" spans="5:5" x14ac:dyDescent="0.25">
      <c r="E25" s="1" t="str">
        <f>"Take-away and delivery sales will be " &amp;'(HIDE) Data Validation'!BL6*100&amp;"% of June levels"</f>
        <v>Take-away and delivery sales will be 40% of June levels</v>
      </c>
    </row>
    <row r="27" spans="5:5" x14ac:dyDescent="0.25">
      <c r="E27" s="1" t="s">
        <v>468</v>
      </c>
    </row>
    <row r="28" spans="5:5" x14ac:dyDescent="0.25">
      <c r="E28" s="1" t="s">
        <v>471</v>
      </c>
    </row>
  </sheetData>
  <sheetProtection password="DBEB" sheet="1" objects="1" scenarios="1" formatColumns="0" formatRows="0" selectLockedCells="1"/>
  <mergeCells count="4">
    <mergeCell ref="F5:P5"/>
    <mergeCell ref="F2:P2"/>
    <mergeCell ref="F3:P3"/>
    <mergeCell ref="F4:P4"/>
  </mergeCells>
  <pageMargins left="0.7" right="0.7" top="0.75" bottom="0.75" header="0.3" footer="0.3"/>
  <pageSetup paperSize="9" orientation="portrait" horizontalDpi="0" verticalDpi="0" r:id="rId1"/>
  <cellWatches>
    <cellWatch r="A1"/>
  </cellWatches>
  <drawing r:id="rId2"/>
  <legacyDrawing r:id="rId3"/>
  <mc:AlternateContent xmlns:mc="http://schemas.openxmlformats.org/markup-compatibility/2006">
    <mc:Choice Requires="x14">
      <controls>
        <mc:AlternateContent xmlns:mc="http://schemas.openxmlformats.org/markup-compatibility/2006">
          <mc:Choice Requires="x14">
            <control shapeId="68611" r:id="rId4" name="Option Button 3">
              <controlPr defaultSize="0" autoFill="0" autoLine="0" autoPict="0">
                <anchor moveWithCells="1">
                  <from>
                    <xdr:col>1</xdr:col>
                    <xdr:colOff>19050</xdr:colOff>
                    <xdr:row>6</xdr:row>
                    <xdr:rowOff>180975</xdr:rowOff>
                  </from>
                  <to>
                    <xdr:col>3</xdr:col>
                    <xdr:colOff>28575</xdr:colOff>
                    <xdr:row>8</xdr:row>
                    <xdr:rowOff>28575</xdr:rowOff>
                  </to>
                </anchor>
              </controlPr>
            </control>
          </mc:Choice>
        </mc:AlternateContent>
        <mc:AlternateContent xmlns:mc="http://schemas.openxmlformats.org/markup-compatibility/2006">
          <mc:Choice Requires="x14">
            <control shapeId="68612" r:id="rId5" name="Option Button 4">
              <controlPr defaultSize="0" autoFill="0" autoLine="0" autoPict="0">
                <anchor moveWithCells="1">
                  <from>
                    <xdr:col>1</xdr:col>
                    <xdr:colOff>19050</xdr:colOff>
                    <xdr:row>9</xdr:row>
                    <xdr:rowOff>180975</xdr:rowOff>
                  </from>
                  <to>
                    <xdr:col>3</xdr:col>
                    <xdr:colOff>47625</xdr:colOff>
                    <xdr:row>11</xdr:row>
                    <xdr:rowOff>28575</xdr:rowOff>
                  </to>
                </anchor>
              </controlPr>
            </control>
          </mc:Choice>
        </mc:AlternateContent>
        <mc:AlternateContent xmlns:mc="http://schemas.openxmlformats.org/markup-compatibility/2006">
          <mc:Choice Requires="x14">
            <control shapeId="68614" r:id="rId6" name="Option Button 6">
              <controlPr defaultSize="0" autoFill="0" autoLine="0" autoPict="0">
                <anchor moveWithCells="1">
                  <from>
                    <xdr:col>1</xdr:col>
                    <xdr:colOff>0</xdr:colOff>
                    <xdr:row>13</xdr:row>
                    <xdr:rowOff>171450</xdr:rowOff>
                  </from>
                  <to>
                    <xdr:col>3</xdr:col>
                    <xdr:colOff>28575</xdr:colOff>
                    <xdr:row>15</xdr:row>
                    <xdr:rowOff>19050</xdr:rowOff>
                  </to>
                </anchor>
              </controlPr>
            </control>
          </mc:Choice>
        </mc:AlternateContent>
        <mc:AlternateContent xmlns:mc="http://schemas.openxmlformats.org/markup-compatibility/2006">
          <mc:Choice Requires="x14">
            <control shapeId="68615" r:id="rId7" name="Option Button 7">
              <controlPr defaultSize="0" autoFill="0" autoLine="0" autoPict="0">
                <anchor moveWithCells="1">
                  <from>
                    <xdr:col>1</xdr:col>
                    <xdr:colOff>0</xdr:colOff>
                    <xdr:row>16</xdr:row>
                    <xdr:rowOff>161925</xdr:rowOff>
                  </from>
                  <to>
                    <xdr:col>3</xdr:col>
                    <xdr:colOff>28575</xdr:colOff>
                    <xdr:row>18</xdr:row>
                    <xdr:rowOff>9525</xdr:rowOff>
                  </to>
                </anchor>
              </controlPr>
            </control>
          </mc:Choice>
        </mc:AlternateContent>
        <mc:AlternateContent xmlns:mc="http://schemas.openxmlformats.org/markup-compatibility/2006">
          <mc:Choice Requires="x14">
            <control shapeId="68616" r:id="rId8" name="Option Button 8">
              <controlPr defaultSize="0" autoFill="0" autoLine="0" autoPict="0">
                <anchor moveWithCells="1">
                  <from>
                    <xdr:col>1</xdr:col>
                    <xdr:colOff>0</xdr:colOff>
                    <xdr:row>19</xdr:row>
                    <xdr:rowOff>180975</xdr:rowOff>
                  </from>
                  <to>
                    <xdr:col>3</xdr:col>
                    <xdr:colOff>28575</xdr:colOff>
                    <xdr:row>21</xdr:row>
                    <xdr:rowOff>28575</xdr:rowOff>
                  </to>
                </anchor>
              </controlPr>
            </control>
          </mc:Choice>
        </mc:AlternateContent>
        <mc:AlternateContent xmlns:mc="http://schemas.openxmlformats.org/markup-compatibility/2006">
          <mc:Choice Requires="x14">
            <control shapeId="68617" r:id="rId9" name="Option Button 9">
              <controlPr defaultSize="0" autoFill="0" autoLine="0" autoPict="0">
                <anchor moveWithCells="1">
                  <from>
                    <xdr:col>1</xdr:col>
                    <xdr:colOff>9525</xdr:colOff>
                    <xdr:row>22</xdr:row>
                    <xdr:rowOff>171450</xdr:rowOff>
                  </from>
                  <to>
                    <xdr:col>4</xdr:col>
                    <xdr:colOff>19050</xdr:colOff>
                    <xdr:row>24</xdr:row>
                    <xdr:rowOff>19050</xdr:rowOff>
                  </to>
                </anchor>
              </controlPr>
            </control>
          </mc:Choice>
        </mc:AlternateContent>
        <mc:AlternateContent xmlns:mc="http://schemas.openxmlformats.org/markup-compatibility/2006">
          <mc:Choice Requires="x14">
            <control shapeId="68610" r:id="rId10" name="Group Box 2">
              <controlPr defaultSize="0" autoFill="0" autoPict="0">
                <anchor moveWithCells="1">
                  <from>
                    <xdr:col>0</xdr:col>
                    <xdr:colOff>333375</xdr:colOff>
                    <xdr:row>6</xdr:row>
                    <xdr:rowOff>76200</xdr:rowOff>
                  </from>
                  <to>
                    <xdr:col>15</xdr:col>
                    <xdr:colOff>504825</xdr:colOff>
                    <xdr:row>29</xdr:row>
                    <xdr:rowOff>95250</xdr:rowOff>
                  </to>
                </anchor>
              </controlPr>
            </control>
          </mc:Choice>
        </mc:AlternateContent>
        <mc:AlternateContent xmlns:mc="http://schemas.openxmlformats.org/markup-compatibility/2006">
          <mc:Choice Requires="x14">
            <control shapeId="68613" r:id="rId11" name="Option Button 5">
              <controlPr defaultSize="0" autoFill="0" autoLine="0" autoPict="0">
                <anchor moveWithCells="1">
                  <from>
                    <xdr:col>1</xdr:col>
                    <xdr:colOff>0</xdr:colOff>
                    <xdr:row>25</xdr:row>
                    <xdr:rowOff>171450</xdr:rowOff>
                  </from>
                  <to>
                    <xdr:col>4</xdr:col>
                    <xdr:colOff>19050</xdr:colOff>
                    <xdr:row>27</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C2:Q33"/>
  <sheetViews>
    <sheetView zoomScale="85" zoomScaleNormal="85" workbookViewId="0">
      <selection activeCell="F31" sqref="F31"/>
    </sheetView>
  </sheetViews>
  <sheetFormatPr defaultColWidth="8.85546875" defaultRowHeight="15" x14ac:dyDescent="0.25"/>
  <cols>
    <col min="1" max="2" width="8.85546875" style="1"/>
    <col min="3" max="3" width="1.7109375" style="1" customWidth="1"/>
    <col min="4" max="4" width="43" style="1" customWidth="1"/>
    <col min="5" max="16" width="14.42578125" style="1" customWidth="1"/>
    <col min="17" max="17" width="17.140625" style="1" customWidth="1"/>
    <col min="18" max="16384" width="8.85546875" style="1"/>
  </cols>
  <sheetData>
    <row r="2" spans="3:17" ht="18.75" x14ac:dyDescent="0.3">
      <c r="C2" s="372" t="str">
        <f>IF('Business Setup'!F3="","UNNAMED",'Business Setup'!F3)</f>
        <v>UNNAMED</v>
      </c>
      <c r="D2" s="373"/>
      <c r="E2" s="373"/>
      <c r="F2" s="373"/>
      <c r="G2" s="373"/>
      <c r="H2" s="373"/>
      <c r="I2" s="373"/>
      <c r="J2" s="373"/>
      <c r="K2" s="373"/>
      <c r="L2" s="373"/>
      <c r="M2" s="373"/>
      <c r="N2" s="373"/>
      <c r="O2" s="373"/>
      <c r="P2" s="373"/>
      <c r="Q2" s="374"/>
    </row>
    <row r="3" spans="3:17" ht="18.75" x14ac:dyDescent="0.3">
      <c r="C3" s="375" t="s">
        <v>594</v>
      </c>
      <c r="D3" s="376"/>
      <c r="E3" s="376"/>
      <c r="F3" s="376"/>
      <c r="G3" s="376"/>
      <c r="H3" s="376"/>
      <c r="I3" s="376"/>
      <c r="J3" s="376"/>
      <c r="K3" s="376"/>
      <c r="L3" s="376"/>
      <c r="M3" s="376"/>
      <c r="N3" s="376"/>
      <c r="O3" s="376"/>
      <c r="P3" s="376"/>
      <c r="Q3" s="377"/>
    </row>
    <row r="4" spans="3:17" ht="9.6" customHeight="1" x14ac:dyDescent="0.3">
      <c r="C4" s="199"/>
      <c r="D4" s="199"/>
      <c r="E4" s="199"/>
      <c r="F4" s="199"/>
      <c r="G4" s="199"/>
      <c r="H4" s="199"/>
      <c r="I4" s="199"/>
      <c r="J4" s="199"/>
      <c r="K4" s="199"/>
      <c r="L4" s="199"/>
      <c r="M4" s="199"/>
      <c r="N4" s="199"/>
      <c r="O4" s="199"/>
      <c r="P4" s="199"/>
      <c r="Q4" s="199"/>
    </row>
    <row r="5" spans="3:17" ht="18.75" x14ac:dyDescent="0.3">
      <c r="C5" s="202" t="s">
        <v>595</v>
      </c>
      <c r="D5" s="202"/>
      <c r="E5" s="30"/>
      <c r="F5" s="30"/>
      <c r="G5" s="30"/>
      <c r="H5" s="30"/>
      <c r="I5" s="30"/>
      <c r="J5" s="30"/>
      <c r="K5" s="30"/>
      <c r="L5" s="30"/>
      <c r="M5" s="30"/>
      <c r="N5" s="30"/>
      <c r="O5" s="30"/>
      <c r="P5" s="30"/>
      <c r="Q5" s="30"/>
    </row>
    <row r="6" spans="3:17" ht="18.600000000000001" customHeight="1" x14ac:dyDescent="0.25">
      <c r="C6" s="210"/>
      <c r="D6" s="211"/>
      <c r="E6" s="212" t="s">
        <v>1</v>
      </c>
      <c r="F6" s="212" t="s">
        <v>2</v>
      </c>
      <c r="G6" s="212" t="s">
        <v>3</v>
      </c>
      <c r="H6" s="212" t="s">
        <v>4</v>
      </c>
      <c r="I6" s="212" t="s">
        <v>5</v>
      </c>
      <c r="J6" s="212" t="s">
        <v>6</v>
      </c>
      <c r="K6" s="212" t="s">
        <v>7</v>
      </c>
      <c r="L6" s="212" t="s">
        <v>8</v>
      </c>
      <c r="M6" s="212" t="s">
        <v>9</v>
      </c>
      <c r="N6" s="212" t="s">
        <v>10</v>
      </c>
      <c r="O6" s="212" t="s">
        <v>11</v>
      </c>
      <c r="P6" s="212" t="s">
        <v>12</v>
      </c>
      <c r="Q6" s="212" t="s">
        <v>580</v>
      </c>
    </row>
    <row r="7" spans="3:17" ht="18.600000000000001" customHeight="1" x14ac:dyDescent="0.25">
      <c r="C7" s="10"/>
      <c r="D7" s="203" t="str">
        <f>"TOTAL Servings of "&amp;'(HIDE) Data Validation'!A7</f>
        <v>TOTAL Servings of Burgers</v>
      </c>
      <c r="E7" s="306">
        <f>'(HIDE) Data Validation'!AL14</f>
        <v>25841</v>
      </c>
      <c r="F7" s="306">
        <f>'(HIDE) Data Validation'!AM14</f>
        <v>27620</v>
      </c>
      <c r="G7" s="306">
        <f>SUM(G10:G12)</f>
        <v>0</v>
      </c>
      <c r="H7" s="306">
        <f t="shared" ref="H7:P7" si="0">SUM(H10:H12)</f>
        <v>0</v>
      </c>
      <c r="I7" s="306">
        <f t="shared" si="0"/>
        <v>0</v>
      </c>
      <c r="J7" s="306">
        <f t="shared" si="0"/>
        <v>0</v>
      </c>
      <c r="K7" s="306">
        <f t="shared" si="0"/>
        <v>0</v>
      </c>
      <c r="L7" s="306">
        <f t="shared" si="0"/>
        <v>0</v>
      </c>
      <c r="M7" s="306">
        <f t="shared" si="0"/>
        <v>0</v>
      </c>
      <c r="N7" s="306">
        <f t="shared" si="0"/>
        <v>0</v>
      </c>
      <c r="O7" s="306">
        <f t="shared" si="0"/>
        <v>0</v>
      </c>
      <c r="P7" s="306">
        <f t="shared" si="0"/>
        <v>0</v>
      </c>
      <c r="Q7" s="307">
        <f>SUM(E7:P7)</f>
        <v>53461</v>
      </c>
    </row>
    <row r="8" spans="3:17" ht="18.600000000000001" customHeight="1" x14ac:dyDescent="0.25">
      <c r="C8" s="213"/>
      <c r="D8" s="214" t="str">
        <f>"TOTAL Servings of "&amp;'(HIDE) Data Validation'!B42</f>
        <v>TOTAL Servings of Hot Chips</v>
      </c>
      <c r="E8" s="308">
        <f>'(HIDE) Data Validation'!AL28</f>
        <v>13109</v>
      </c>
      <c r="F8" s="308">
        <f>'(HIDE) Data Validation'!AM28</f>
        <v>14012</v>
      </c>
      <c r="G8" s="308">
        <f>SUM(G13:G15)</f>
        <v>0</v>
      </c>
      <c r="H8" s="308">
        <f t="shared" ref="H8:P8" si="1">SUM(H13:H15)</f>
        <v>0</v>
      </c>
      <c r="I8" s="308">
        <f t="shared" si="1"/>
        <v>0</v>
      </c>
      <c r="J8" s="308">
        <f t="shared" si="1"/>
        <v>0</v>
      </c>
      <c r="K8" s="308">
        <f t="shared" si="1"/>
        <v>0</v>
      </c>
      <c r="L8" s="308">
        <f t="shared" si="1"/>
        <v>0</v>
      </c>
      <c r="M8" s="308">
        <f t="shared" si="1"/>
        <v>0</v>
      </c>
      <c r="N8" s="308">
        <f t="shared" si="1"/>
        <v>0</v>
      </c>
      <c r="O8" s="308">
        <f t="shared" si="1"/>
        <v>0</v>
      </c>
      <c r="P8" s="308">
        <f t="shared" si="1"/>
        <v>0</v>
      </c>
      <c r="Q8" s="309">
        <f t="shared" ref="Q8:Q15" si="2">SUM(E8:P8)</f>
        <v>27121</v>
      </c>
    </row>
    <row r="9" spans="3:17" ht="18.600000000000001" customHeight="1" x14ac:dyDescent="0.25">
      <c r="C9" s="10"/>
      <c r="D9" s="203"/>
      <c r="E9" s="306"/>
      <c r="F9" s="306"/>
      <c r="G9" s="306"/>
      <c r="H9" s="306"/>
      <c r="I9" s="306"/>
      <c r="J9" s="306"/>
      <c r="K9" s="306"/>
      <c r="L9" s="306"/>
      <c r="M9" s="306"/>
      <c r="N9" s="306"/>
      <c r="O9" s="306"/>
      <c r="P9" s="306"/>
      <c r="Q9" s="307"/>
    </row>
    <row r="10" spans="3:17" ht="18.600000000000001" customHeight="1" x14ac:dyDescent="0.25">
      <c r="C10" s="213"/>
      <c r="D10" s="214" t="str">
        <f>"Servings of "&amp;'(HIDE) Data Validation'!A7&amp;" (Dine-in)"</f>
        <v>Servings of Burgers (Dine-in)</v>
      </c>
      <c r="E10" s="308">
        <f>E7-E12</f>
        <v>25841</v>
      </c>
      <c r="F10" s="308">
        <f>F7-F12</f>
        <v>27620</v>
      </c>
      <c r="G10" s="308"/>
      <c r="H10" s="308"/>
      <c r="I10" s="308"/>
      <c r="J10" s="308"/>
      <c r="K10" s="308">
        <f>'(HIDE) Data Validation'!BG14</f>
        <v>0</v>
      </c>
      <c r="L10" s="308">
        <f>'(HIDE) Data Validation'!BH14</f>
        <v>0</v>
      </c>
      <c r="M10" s="308">
        <f>'(HIDE) Data Validation'!BI14</f>
        <v>0</v>
      </c>
      <c r="N10" s="308">
        <f>'(HIDE) Data Validation'!BJ14</f>
        <v>0</v>
      </c>
      <c r="O10" s="308">
        <f>'(HIDE) Data Validation'!BK14</f>
        <v>0</v>
      </c>
      <c r="P10" s="308">
        <f>'(HIDE) Data Validation'!BL14</f>
        <v>0</v>
      </c>
      <c r="Q10" s="309">
        <f t="shared" si="2"/>
        <v>53461</v>
      </c>
    </row>
    <row r="11" spans="3:17" ht="18.600000000000001" customHeight="1" x14ac:dyDescent="0.25">
      <c r="C11" s="10"/>
      <c r="D11" s="203" t="str">
        <f>"Servings of "&amp;'(HIDE) Data Validation'!A7&amp;" (Takeaway)"</f>
        <v>Servings of Burgers (Takeaway)</v>
      </c>
      <c r="E11" s="306"/>
      <c r="F11" s="306"/>
      <c r="G11" s="306">
        <f>'(HIDE) Data Validation'!AN14</f>
        <v>0</v>
      </c>
      <c r="H11" s="306">
        <f>'(HIDE) Data Validation'!AO14</f>
        <v>0</v>
      </c>
      <c r="I11" s="306">
        <f>'(HIDE) Data Validation'!AP14</f>
        <v>0</v>
      </c>
      <c r="J11" s="306">
        <f>'(HIDE) Data Validation'!AQ14</f>
        <v>0</v>
      </c>
      <c r="K11" s="306">
        <f>'(HIDE) Data Validation'!BG10</f>
        <v>0</v>
      </c>
      <c r="L11" s="306">
        <f>'(HIDE) Data Validation'!BH10</f>
        <v>0</v>
      </c>
      <c r="M11" s="306">
        <f>'(HIDE) Data Validation'!BI10</f>
        <v>0</v>
      </c>
      <c r="N11" s="306">
        <f>'(HIDE) Data Validation'!BJ10</f>
        <v>0</v>
      </c>
      <c r="O11" s="306">
        <f>'(HIDE) Data Validation'!BK10</f>
        <v>0</v>
      </c>
      <c r="P11" s="306">
        <f>'(HIDE) Data Validation'!BL10</f>
        <v>0</v>
      </c>
      <c r="Q11" s="307">
        <f t="shared" si="2"/>
        <v>0</v>
      </c>
    </row>
    <row r="12" spans="3:17" ht="18.600000000000001" customHeight="1" x14ac:dyDescent="0.25">
      <c r="C12" s="213"/>
      <c r="D12" s="214" t="str">
        <f>"Servings of "&amp;'(HIDE) Data Validation'!A7&amp;" (Deliveries)"</f>
        <v>Servings of Burgers (Deliveries)</v>
      </c>
      <c r="E12" s="308">
        <f>'(HIDE) Data Validation'!AL52</f>
        <v>0</v>
      </c>
      <c r="F12" s="308">
        <f>'(HIDE) Data Validation'!AM52</f>
        <v>0</v>
      </c>
      <c r="G12" s="308">
        <f>'(HIDE) Data Validation'!AN16</f>
        <v>0</v>
      </c>
      <c r="H12" s="308">
        <f>'(HIDE) Data Validation'!AO16</f>
        <v>0</v>
      </c>
      <c r="I12" s="308">
        <f>'(HIDE) Data Validation'!AP16</f>
        <v>0</v>
      </c>
      <c r="J12" s="308">
        <f>'(HIDE) Data Validation'!AQ16</f>
        <v>0</v>
      </c>
      <c r="K12" s="308">
        <f>'(HIDE) Data Validation'!BG12</f>
        <v>0</v>
      </c>
      <c r="L12" s="308">
        <f>'(HIDE) Data Validation'!BH12</f>
        <v>0</v>
      </c>
      <c r="M12" s="308">
        <f>'(HIDE) Data Validation'!BI12</f>
        <v>0</v>
      </c>
      <c r="N12" s="308">
        <f>'(HIDE) Data Validation'!BJ12</f>
        <v>0</v>
      </c>
      <c r="O12" s="308">
        <f>'(HIDE) Data Validation'!BK12</f>
        <v>0</v>
      </c>
      <c r="P12" s="308">
        <f>'(HIDE) Data Validation'!BL12</f>
        <v>0</v>
      </c>
      <c r="Q12" s="309">
        <f t="shared" si="2"/>
        <v>0</v>
      </c>
    </row>
    <row r="13" spans="3:17" ht="18.600000000000001" customHeight="1" x14ac:dyDescent="0.25">
      <c r="C13" s="10"/>
      <c r="D13" s="203" t="str">
        <f>"Servings of "&amp;'(HIDE) Data Validation'!B42&amp;" (Dine-in)"</f>
        <v>Servings of Hot Chips (Dine-in)</v>
      </c>
      <c r="E13" s="306">
        <f>E8-E15</f>
        <v>13109</v>
      </c>
      <c r="F13" s="306">
        <f>F8-F15</f>
        <v>14012</v>
      </c>
      <c r="G13" s="306"/>
      <c r="H13" s="306"/>
      <c r="I13" s="306"/>
      <c r="J13" s="306"/>
      <c r="K13" s="306">
        <f>'(HIDE) Data Validation'!BG29</f>
        <v>0</v>
      </c>
      <c r="L13" s="306">
        <f>'(HIDE) Data Validation'!BH29</f>
        <v>0</v>
      </c>
      <c r="M13" s="306">
        <f>'(HIDE) Data Validation'!BI29</f>
        <v>0</v>
      </c>
      <c r="N13" s="306">
        <f>'(HIDE) Data Validation'!BJ29</f>
        <v>0</v>
      </c>
      <c r="O13" s="306">
        <f>'(HIDE) Data Validation'!BK29</f>
        <v>0</v>
      </c>
      <c r="P13" s="306">
        <f>'(HIDE) Data Validation'!BL29</f>
        <v>0</v>
      </c>
      <c r="Q13" s="307">
        <f t="shared" si="2"/>
        <v>27121</v>
      </c>
    </row>
    <row r="14" spans="3:17" ht="18.600000000000001" customHeight="1" x14ac:dyDescent="0.25">
      <c r="C14" s="213"/>
      <c r="D14" s="214" t="str">
        <f>"Servings of "&amp;'(HIDE) Data Validation'!B42&amp;" (Takeaway)"</f>
        <v>Servings of Hot Chips (Takeaway)</v>
      </c>
      <c r="E14" s="308"/>
      <c r="F14" s="308"/>
      <c r="G14" s="308">
        <f>'(HIDE) Data Validation'!AN27</f>
        <v>0</v>
      </c>
      <c r="H14" s="308">
        <f>'(HIDE) Data Validation'!AO27</f>
        <v>0</v>
      </c>
      <c r="I14" s="308">
        <f>'(HIDE) Data Validation'!AP27</f>
        <v>0</v>
      </c>
      <c r="J14" s="308">
        <f>'(HIDE) Data Validation'!AQ27</f>
        <v>0</v>
      </c>
      <c r="K14" s="308">
        <f>'(HIDE) Data Validation'!BG25</f>
        <v>0</v>
      </c>
      <c r="L14" s="308">
        <f>'(HIDE) Data Validation'!BH25</f>
        <v>0</v>
      </c>
      <c r="M14" s="308">
        <f>'(HIDE) Data Validation'!BI25</f>
        <v>0</v>
      </c>
      <c r="N14" s="308">
        <f>'(HIDE) Data Validation'!BJ25</f>
        <v>0</v>
      </c>
      <c r="O14" s="308">
        <f>'(HIDE) Data Validation'!BK25</f>
        <v>0</v>
      </c>
      <c r="P14" s="308">
        <f>'(HIDE) Data Validation'!BL25</f>
        <v>0</v>
      </c>
      <c r="Q14" s="309">
        <f t="shared" si="2"/>
        <v>0</v>
      </c>
    </row>
    <row r="15" spans="3:17" ht="18.600000000000001" customHeight="1" x14ac:dyDescent="0.25">
      <c r="C15" s="10"/>
      <c r="D15" s="203" t="str">
        <f>"Servings of "&amp;'(HIDE) Data Validation'!B42&amp;" (Deliveries)"</f>
        <v>Servings of Hot Chips (Deliveries)</v>
      </c>
      <c r="E15" s="306">
        <f>'(HIDE) Data Validation'!AL53</f>
        <v>0</v>
      </c>
      <c r="F15" s="306">
        <f>'(HIDE) Data Validation'!AM53</f>
        <v>0</v>
      </c>
      <c r="G15" s="306">
        <f>'(HIDE) Data Validation'!AN29</f>
        <v>0</v>
      </c>
      <c r="H15" s="306">
        <f>'(HIDE) Data Validation'!AO29</f>
        <v>0</v>
      </c>
      <c r="I15" s="306">
        <f>'(HIDE) Data Validation'!AP29</f>
        <v>0</v>
      </c>
      <c r="J15" s="306">
        <f>'(HIDE) Data Validation'!AQ29</f>
        <v>0</v>
      </c>
      <c r="K15" s="306">
        <f>'(HIDE) Data Validation'!BG27</f>
        <v>0</v>
      </c>
      <c r="L15" s="306">
        <f>'(HIDE) Data Validation'!BH27</f>
        <v>0</v>
      </c>
      <c r="M15" s="306">
        <f>'(HIDE) Data Validation'!BI27</f>
        <v>0</v>
      </c>
      <c r="N15" s="306">
        <f>'(HIDE) Data Validation'!BJ27</f>
        <v>0</v>
      </c>
      <c r="O15" s="306">
        <f>'(HIDE) Data Validation'!BK27</f>
        <v>0</v>
      </c>
      <c r="P15" s="306">
        <f>'(HIDE) Data Validation'!BL27</f>
        <v>0</v>
      </c>
      <c r="Q15" s="307">
        <f t="shared" si="2"/>
        <v>0</v>
      </c>
    </row>
    <row r="16" spans="3:17" ht="18.600000000000001" customHeight="1" x14ac:dyDescent="0.25">
      <c r="C16" s="213"/>
      <c r="D16" s="214"/>
      <c r="E16" s="308"/>
      <c r="F16" s="308"/>
      <c r="G16" s="308"/>
      <c r="H16" s="308"/>
      <c r="I16" s="308"/>
      <c r="J16" s="308"/>
      <c r="K16" s="308"/>
      <c r="L16" s="308"/>
      <c r="M16" s="308"/>
      <c r="N16" s="308"/>
      <c r="O16" s="308"/>
      <c r="P16" s="308"/>
      <c r="Q16" s="309"/>
    </row>
    <row r="17" spans="3:17" ht="18.600000000000001" customHeight="1" x14ac:dyDescent="0.25">
      <c r="C17" s="10"/>
      <c r="D17" s="203" t="str">
        <f>"Average daily "&amp;'(HIDE) Data Validation'!A7&amp;" Sales"</f>
        <v>Average daily Burgers Sales</v>
      </c>
      <c r="E17" s="306">
        <f>ROUND(E7/31,2)</f>
        <v>833.58</v>
      </c>
      <c r="F17" s="306">
        <f>ROUND(F7/28,2)</f>
        <v>986.43</v>
      </c>
      <c r="G17" s="306">
        <f t="shared" ref="G17:P17" si="3">ROUND(G7/31,2)</f>
        <v>0</v>
      </c>
      <c r="H17" s="306">
        <f>ROUND(H7/30,2)</f>
        <v>0</v>
      </c>
      <c r="I17" s="306">
        <f t="shared" si="3"/>
        <v>0</v>
      </c>
      <c r="J17" s="306">
        <f>ROUND(J7/30,2)</f>
        <v>0</v>
      </c>
      <c r="K17" s="306">
        <f t="shared" si="3"/>
        <v>0</v>
      </c>
      <c r="L17" s="306">
        <f t="shared" si="3"/>
        <v>0</v>
      </c>
      <c r="M17" s="306">
        <f>ROUND(M7/30,2)</f>
        <v>0</v>
      </c>
      <c r="N17" s="306">
        <f t="shared" si="3"/>
        <v>0</v>
      </c>
      <c r="O17" s="306">
        <f>ROUND(O7/30,2)</f>
        <v>0</v>
      </c>
      <c r="P17" s="306">
        <f t="shared" si="3"/>
        <v>0</v>
      </c>
      <c r="Q17" s="307">
        <f>ROUND(Q7/365,2)</f>
        <v>146.47</v>
      </c>
    </row>
    <row r="18" spans="3:17" ht="18.600000000000001" customHeight="1" x14ac:dyDescent="0.25">
      <c r="C18" s="213"/>
      <c r="D18" s="214" t="str">
        <f>"Average daily "&amp;'(HIDE) Data Validation'!B42&amp;" Sales"</f>
        <v>Average daily Hot Chips Sales</v>
      </c>
      <c r="E18" s="308">
        <f>ROUND(E8/31,2)</f>
        <v>422.87</v>
      </c>
      <c r="F18" s="308">
        <f>ROUND(F8/28,2)</f>
        <v>500.43</v>
      </c>
      <c r="G18" s="308">
        <f>ROUND(G8/31,2)</f>
        <v>0</v>
      </c>
      <c r="H18" s="308">
        <f>ROUND(H8/30,2)</f>
        <v>0</v>
      </c>
      <c r="I18" s="308">
        <f>ROUND(I8/31,2)</f>
        <v>0</v>
      </c>
      <c r="J18" s="308">
        <f>ROUND(J8/30,2)</f>
        <v>0</v>
      </c>
      <c r="K18" s="308">
        <f>ROUND(K8/31,2)</f>
        <v>0</v>
      </c>
      <c r="L18" s="308">
        <f>ROUND(L8/31,2)</f>
        <v>0</v>
      </c>
      <c r="M18" s="308">
        <f>ROUND(M8/30,2)</f>
        <v>0</v>
      </c>
      <c r="N18" s="308">
        <f>ROUND(N8/31,2)</f>
        <v>0</v>
      </c>
      <c r="O18" s="308">
        <f>ROUND(O8/30,2)</f>
        <v>0</v>
      </c>
      <c r="P18" s="308">
        <f>ROUND(P8/31,2)</f>
        <v>0</v>
      </c>
      <c r="Q18" s="309">
        <f>ROUND(Q8/365,2)</f>
        <v>74.3</v>
      </c>
    </row>
    <row r="19" spans="3:17" x14ac:dyDescent="0.25">
      <c r="C19" s="201"/>
      <c r="D19" s="205"/>
      <c r="E19" s="205"/>
      <c r="F19" s="205"/>
      <c r="G19" s="205"/>
      <c r="H19" s="205"/>
      <c r="I19" s="205"/>
      <c r="J19" s="205"/>
      <c r="K19" s="205"/>
      <c r="L19" s="205"/>
      <c r="M19" s="205"/>
      <c r="N19" s="205"/>
      <c r="O19" s="205"/>
      <c r="P19" s="205"/>
      <c r="Q19" s="205"/>
    </row>
    <row r="20" spans="3:17" ht="18.75" x14ac:dyDescent="0.3">
      <c r="C20" s="202" t="s">
        <v>596</v>
      </c>
      <c r="D20" s="206"/>
      <c r="E20" s="204"/>
      <c r="F20" s="204"/>
      <c r="G20" s="204"/>
      <c r="H20" s="204"/>
      <c r="I20" s="204"/>
      <c r="J20" s="204"/>
      <c r="K20" s="204"/>
      <c r="L20" s="204"/>
      <c r="M20" s="204"/>
      <c r="N20" s="204"/>
      <c r="O20" s="204"/>
      <c r="P20" s="204"/>
      <c r="Q20" s="204"/>
    </row>
    <row r="21" spans="3:17" ht="18.600000000000001" customHeight="1" x14ac:dyDescent="0.3">
      <c r="C21" s="216"/>
      <c r="D21" s="217"/>
      <c r="E21" s="218" t="s">
        <v>1</v>
      </c>
      <c r="F21" s="218" t="s">
        <v>2</v>
      </c>
      <c r="G21" s="218" t="s">
        <v>3</v>
      </c>
      <c r="H21" s="218" t="s">
        <v>4</v>
      </c>
      <c r="I21" s="218" t="s">
        <v>5</v>
      </c>
      <c r="J21" s="218" t="s">
        <v>6</v>
      </c>
      <c r="K21" s="218" t="s">
        <v>7</v>
      </c>
      <c r="L21" s="218" t="s">
        <v>8</v>
      </c>
      <c r="M21" s="218" t="s">
        <v>9</v>
      </c>
      <c r="N21" s="218" t="s">
        <v>10</v>
      </c>
      <c r="O21" s="218" t="s">
        <v>11</v>
      </c>
      <c r="P21" s="218" t="s">
        <v>12</v>
      </c>
      <c r="Q21" s="218" t="s">
        <v>580</v>
      </c>
    </row>
    <row r="22" spans="3:17" ht="18.600000000000001" customHeight="1" x14ac:dyDescent="0.3">
      <c r="C22" s="200"/>
      <c r="D22" s="207"/>
      <c r="E22" s="208" t="s">
        <v>38</v>
      </c>
      <c r="F22" s="208" t="s">
        <v>38</v>
      </c>
      <c r="G22" s="208" t="s">
        <v>38</v>
      </c>
      <c r="H22" s="208" t="s">
        <v>38</v>
      </c>
      <c r="I22" s="208" t="s">
        <v>38</v>
      </c>
      <c r="J22" s="208" t="s">
        <v>38</v>
      </c>
      <c r="K22" s="208" t="s">
        <v>38</v>
      </c>
      <c r="L22" s="208" t="s">
        <v>38</v>
      </c>
      <c r="M22" s="208" t="s">
        <v>38</v>
      </c>
      <c r="N22" s="208" t="s">
        <v>38</v>
      </c>
      <c r="O22" s="208" t="s">
        <v>38</v>
      </c>
      <c r="P22" s="208" t="s">
        <v>38</v>
      </c>
      <c r="Q22" s="208" t="s">
        <v>38</v>
      </c>
    </row>
    <row r="23" spans="3:17" ht="18.600000000000001" customHeight="1" x14ac:dyDescent="0.25">
      <c r="C23" s="213"/>
      <c r="D23" s="214" t="str">
        <f>"Sales of "&amp;'(HIDE) Data Validation'!A7&amp;" (Cash Sales)"</f>
        <v>Sales of Burgers (Cash Sales)</v>
      </c>
      <c r="E23" s="219">
        <f>'(HIDE) Data Validation'!AL42</f>
        <v>180887</v>
      </c>
      <c r="F23" s="219">
        <f>'(HIDE) Data Validation'!AM42</f>
        <v>193340</v>
      </c>
      <c r="G23" s="219">
        <f>'(HIDE) Data Validation'!AN42</f>
        <v>0</v>
      </c>
      <c r="H23" s="219">
        <f>'(HIDE) Data Validation'!AO42</f>
        <v>0</v>
      </c>
      <c r="I23" s="219">
        <f>'(HIDE) Data Validation'!AP42</f>
        <v>0</v>
      </c>
      <c r="J23" s="219">
        <f>'(HIDE) Data Validation'!AQ42</f>
        <v>0</v>
      </c>
      <c r="K23" s="219">
        <f>'(HIDE) Data Validation'!BG42</f>
        <v>0</v>
      </c>
      <c r="L23" s="219">
        <f>'(HIDE) Data Validation'!BH42</f>
        <v>0</v>
      </c>
      <c r="M23" s="219">
        <f>'(HIDE) Data Validation'!BI42</f>
        <v>0</v>
      </c>
      <c r="N23" s="219">
        <f>'(HIDE) Data Validation'!BJ42</f>
        <v>0</v>
      </c>
      <c r="O23" s="219">
        <f>'(HIDE) Data Validation'!BK42</f>
        <v>0</v>
      </c>
      <c r="P23" s="219">
        <f>'(HIDE) Data Validation'!BL42</f>
        <v>0</v>
      </c>
      <c r="Q23" s="220">
        <f>SUM(E23:P23)</f>
        <v>374227</v>
      </c>
    </row>
    <row r="24" spans="3:17" ht="18.600000000000001" customHeight="1" x14ac:dyDescent="0.25">
      <c r="C24" s="10"/>
      <c r="D24" s="203" t="str">
        <f>"Sales of "&amp;'(HIDE) Data Validation'!A7&amp;" (Credit Sales)"</f>
        <v>Sales of Burgers (Credit Sales)</v>
      </c>
      <c r="E24" s="209">
        <f>'(HIDE) Data Validation'!AL43</f>
        <v>118902</v>
      </c>
      <c r="F24" s="209">
        <f>'(HIDE) Data Validation'!AM43</f>
        <v>77523</v>
      </c>
      <c r="G24" s="209">
        <f>'(HIDE) Data Validation'!AN71</f>
        <v>0</v>
      </c>
      <c r="H24" s="209">
        <f>'(HIDE) Data Validation'!AO71</f>
        <v>0</v>
      </c>
      <c r="I24" s="209">
        <f>'(HIDE) Data Validation'!AP71</f>
        <v>0</v>
      </c>
      <c r="J24" s="209">
        <f>'(HIDE) Data Validation'!AQ71</f>
        <v>0</v>
      </c>
      <c r="K24" s="209">
        <f>'(HIDE) Data Validation'!BH43</f>
        <v>0</v>
      </c>
      <c r="L24" s="209">
        <f>'(HIDE) Data Validation'!BI43</f>
        <v>0</v>
      </c>
      <c r="M24" s="209">
        <f>'(HIDE) Data Validation'!BJ43</f>
        <v>0</v>
      </c>
      <c r="N24" s="209">
        <f>'(HIDE) Data Validation'!BK43</f>
        <v>0</v>
      </c>
      <c r="O24" s="209">
        <f>'(HIDE) Data Validation'!BL43</f>
        <v>0</v>
      </c>
      <c r="P24" s="209">
        <f>'(HIDE) Data Validation'!BM43</f>
        <v>0</v>
      </c>
      <c r="Q24" s="221">
        <f>SUM(E24:P24)</f>
        <v>196425</v>
      </c>
    </row>
    <row r="25" spans="3:17" ht="18.600000000000001" customHeight="1" x14ac:dyDescent="0.25">
      <c r="C25" s="213"/>
      <c r="D25" s="214" t="str">
        <f>"Sales of "&amp;'(HIDE) Data Validation'!B42&amp;" (Cash Sales)"</f>
        <v>Sales of Hot Chips (Cash Sales)</v>
      </c>
      <c r="E25" s="219">
        <f>'(HIDE) Data Validation'!AL44</f>
        <v>36705.199999999997</v>
      </c>
      <c r="F25" s="219">
        <f>'(HIDE) Data Validation'!AM44</f>
        <v>39233.599999999999</v>
      </c>
      <c r="G25" s="219">
        <f>'(HIDE) Data Validation'!AN44</f>
        <v>0</v>
      </c>
      <c r="H25" s="219">
        <f>'(HIDE) Data Validation'!AO44</f>
        <v>0</v>
      </c>
      <c r="I25" s="219">
        <f>'(HIDE) Data Validation'!AP44</f>
        <v>0</v>
      </c>
      <c r="J25" s="219">
        <f>'(HIDE) Data Validation'!AQ44</f>
        <v>0</v>
      </c>
      <c r="K25" s="219">
        <f>'(HIDE) Data Validation'!BG44</f>
        <v>0</v>
      </c>
      <c r="L25" s="219">
        <f>'(HIDE) Data Validation'!BH44</f>
        <v>0</v>
      </c>
      <c r="M25" s="219">
        <f>'(HIDE) Data Validation'!BI44</f>
        <v>0</v>
      </c>
      <c r="N25" s="219">
        <f>'(HIDE) Data Validation'!BJ44</f>
        <v>0</v>
      </c>
      <c r="O25" s="219">
        <f>'(HIDE) Data Validation'!BK44</f>
        <v>0</v>
      </c>
      <c r="P25" s="219">
        <f>'(HIDE) Data Validation'!BL44</f>
        <v>0</v>
      </c>
      <c r="Q25" s="220">
        <f>SUM(E25:P25)</f>
        <v>75938.799999999988</v>
      </c>
    </row>
    <row r="26" spans="3:17" ht="18.600000000000001" customHeight="1" x14ac:dyDescent="0.25">
      <c r="C26" s="10"/>
      <c r="D26" s="203" t="str">
        <f>"Sales of "&amp;'(HIDE) Data Validation'!B42&amp;" (Credit Sales)"</f>
        <v>Sales of Hot Chips (Credit Sales)</v>
      </c>
      <c r="E26" s="209">
        <f>'(HIDE) Data Validation'!AL45</f>
        <v>24127.200000000001</v>
      </c>
      <c r="F26" s="209">
        <f>'(HIDE) Data Validation'!AM45</f>
        <v>15730.8</v>
      </c>
      <c r="G26" s="209">
        <f>'(HIDE) Data Validation'!AN72</f>
        <v>0</v>
      </c>
      <c r="H26" s="209">
        <f>'(HIDE) Data Validation'!AO72</f>
        <v>0</v>
      </c>
      <c r="I26" s="209">
        <f>'(HIDE) Data Validation'!AP72</f>
        <v>0</v>
      </c>
      <c r="J26" s="209">
        <f>'(HIDE) Data Validation'!AQ72</f>
        <v>0</v>
      </c>
      <c r="K26" s="209">
        <f>'(HIDE) Data Validation'!BH45</f>
        <v>0</v>
      </c>
      <c r="L26" s="209">
        <f>'(HIDE) Data Validation'!BI45</f>
        <v>0</v>
      </c>
      <c r="M26" s="209">
        <f>'(HIDE) Data Validation'!BJ45</f>
        <v>0</v>
      </c>
      <c r="N26" s="209">
        <f>'(HIDE) Data Validation'!BK45</f>
        <v>0</v>
      </c>
      <c r="O26" s="209">
        <f>'(HIDE) Data Validation'!BL45</f>
        <v>0</v>
      </c>
      <c r="P26" s="209">
        <f>'(HIDE) Data Validation'!BM45</f>
        <v>0</v>
      </c>
      <c r="Q26" s="221">
        <f>SUM(E26:P26)</f>
        <v>39858</v>
      </c>
    </row>
    <row r="27" spans="3:17" ht="18.600000000000001" customHeight="1" x14ac:dyDescent="0.25">
      <c r="C27" s="215"/>
      <c r="D27" s="256" t="s">
        <v>671</v>
      </c>
      <c r="E27" s="257">
        <f>SUM(E23:E26)</f>
        <v>360621.4</v>
      </c>
      <c r="F27" s="257">
        <f t="shared" ref="F27:Q27" si="4">SUM(F23:F26)</f>
        <v>325827.39999999997</v>
      </c>
      <c r="G27" s="257">
        <f t="shared" si="4"/>
        <v>0</v>
      </c>
      <c r="H27" s="257">
        <f t="shared" si="4"/>
        <v>0</v>
      </c>
      <c r="I27" s="257">
        <f t="shared" si="4"/>
        <v>0</v>
      </c>
      <c r="J27" s="257">
        <f t="shared" si="4"/>
        <v>0</v>
      </c>
      <c r="K27" s="257">
        <f t="shared" si="4"/>
        <v>0</v>
      </c>
      <c r="L27" s="257">
        <f t="shared" si="4"/>
        <v>0</v>
      </c>
      <c r="M27" s="257">
        <f t="shared" si="4"/>
        <v>0</v>
      </c>
      <c r="N27" s="257">
        <f t="shared" si="4"/>
        <v>0</v>
      </c>
      <c r="O27" s="257">
        <f t="shared" si="4"/>
        <v>0</v>
      </c>
      <c r="P27" s="257">
        <f t="shared" si="4"/>
        <v>0</v>
      </c>
      <c r="Q27" s="257">
        <f t="shared" si="4"/>
        <v>686448.8</v>
      </c>
    </row>
    <row r="30" spans="3:17" ht="14.85" customHeight="1" x14ac:dyDescent="0.25">
      <c r="I30" s="378" t="str">
        <f>IF('(HIDE) Data Validation'!B26=0,"","YOU HAVE NOT YET RAISED ENOUGH CAPITAL. YOU STILL NEED $"&amp;TEXT('(HIDE) Data Validation'!B26,"#,##0;;@"))</f>
        <v>YOU HAVE NOT YET RAISED ENOUGH CAPITAL. YOU STILL NEED $275,865</v>
      </c>
      <c r="J30" s="378"/>
      <c r="K30" s="378"/>
      <c r="L30" s="378"/>
      <c r="M30" s="378"/>
      <c r="N30" s="378"/>
      <c r="O30" s="378"/>
      <c r="P30" s="378"/>
    </row>
    <row r="31" spans="3:17" ht="14.85" customHeight="1" x14ac:dyDescent="0.25">
      <c r="F31" s="158"/>
      <c r="I31" s="378"/>
      <c r="J31" s="378"/>
      <c r="K31" s="378"/>
      <c r="L31" s="378"/>
      <c r="M31" s="378"/>
      <c r="N31" s="378"/>
      <c r="O31" s="378"/>
      <c r="P31" s="378"/>
    </row>
    <row r="32" spans="3:17" ht="14.85" customHeight="1" x14ac:dyDescent="0.25">
      <c r="I32" s="378"/>
      <c r="J32" s="378"/>
      <c r="K32" s="378"/>
      <c r="L32" s="378"/>
      <c r="M32" s="378"/>
      <c r="N32" s="378"/>
      <c r="O32" s="378"/>
      <c r="P32" s="378"/>
    </row>
    <row r="33" spans="9:16" ht="14.85" customHeight="1" x14ac:dyDescent="0.25">
      <c r="I33" s="378"/>
      <c r="J33" s="378"/>
      <c r="K33" s="378"/>
      <c r="L33" s="378"/>
      <c r="M33" s="378"/>
      <c r="N33" s="378"/>
      <c r="O33" s="378"/>
      <c r="P33" s="378"/>
    </row>
  </sheetData>
  <sheetProtection algorithmName="SHA-512" hashValue="AWx2Vm1cOaTpeBH0gdinL1wD1xWkfDPs0wCFzi0OMz6Vd1yg2OLTurjw2DuAIinIXtY3XjS6t8E3Yhg1Zm1nNw==" saltValue="kVavuWaQMPhTqPKUAjVUsw==" spinCount="100000" sheet="1" objects="1" scenarios="1" formatColumns="0" formatRows="0" selectLockedCells="1"/>
  <mergeCells count="3">
    <mergeCell ref="C2:Q2"/>
    <mergeCell ref="C3:Q3"/>
    <mergeCell ref="I30:P33"/>
  </mergeCells>
  <pageMargins left="0.7" right="0.7" top="0.75" bottom="0.75" header="0.3" footer="0.3"/>
  <pageSetup paperSize="9"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B1:AH49"/>
  <sheetViews>
    <sheetView zoomScale="55" zoomScaleNormal="55" workbookViewId="0">
      <selection activeCell="N30" sqref="N30"/>
    </sheetView>
  </sheetViews>
  <sheetFormatPr defaultColWidth="10.140625" defaultRowHeight="15" x14ac:dyDescent="0.25"/>
  <cols>
    <col min="1" max="1" width="2.7109375" style="1" customWidth="1"/>
    <col min="2" max="2" width="16.28515625" style="1" customWidth="1"/>
    <col min="3" max="17" width="17.85546875" style="1" customWidth="1"/>
    <col min="18" max="18" width="12.7109375" style="1" customWidth="1"/>
    <col min="19" max="19" width="16.28515625" style="1" customWidth="1"/>
    <col min="20" max="34" width="20.42578125" style="1" customWidth="1"/>
    <col min="35" max="16384" width="10.140625" style="1"/>
  </cols>
  <sheetData>
    <row r="1" spans="2:34" ht="10.15" customHeight="1" x14ac:dyDescent="0.25"/>
    <row r="2" spans="2:34" ht="18.75" x14ac:dyDescent="0.3">
      <c r="B2" s="372" t="str">
        <f>IF('Business Setup'!F3="","UNNAMED",'Business Setup'!F3)</f>
        <v>UNNAMED</v>
      </c>
      <c r="C2" s="373"/>
      <c r="D2" s="373"/>
      <c r="E2" s="373"/>
      <c r="F2" s="373"/>
      <c r="G2" s="373"/>
      <c r="H2" s="373"/>
      <c r="I2" s="373"/>
      <c r="J2" s="373"/>
      <c r="K2" s="373"/>
      <c r="L2" s="373"/>
      <c r="M2" s="373"/>
      <c r="N2" s="373"/>
      <c r="O2" s="373"/>
      <c r="P2" s="373"/>
      <c r="Q2" s="374"/>
      <c r="S2" s="372" t="str">
        <f>IF('Business Setup'!F3="","UNNAMED",'Business Setup'!F3)</f>
        <v>UNNAMED</v>
      </c>
      <c r="T2" s="373"/>
      <c r="U2" s="373"/>
      <c r="V2" s="373"/>
      <c r="W2" s="373"/>
      <c r="X2" s="373"/>
      <c r="Y2" s="373"/>
      <c r="Z2" s="373"/>
      <c r="AA2" s="373"/>
      <c r="AB2" s="373"/>
      <c r="AC2" s="373"/>
      <c r="AD2" s="373"/>
      <c r="AE2" s="373"/>
      <c r="AF2" s="373"/>
      <c r="AG2" s="373"/>
      <c r="AH2" s="374"/>
    </row>
    <row r="3" spans="2:34" ht="18.75" x14ac:dyDescent="0.3">
      <c r="B3" s="388" t="s">
        <v>583</v>
      </c>
      <c r="C3" s="368"/>
      <c r="D3" s="368"/>
      <c r="E3" s="368"/>
      <c r="F3" s="368"/>
      <c r="G3" s="368"/>
      <c r="H3" s="368"/>
      <c r="I3" s="368"/>
      <c r="J3" s="368"/>
      <c r="K3" s="368"/>
      <c r="L3" s="368"/>
      <c r="M3" s="368"/>
      <c r="N3" s="368"/>
      <c r="O3" s="368"/>
      <c r="P3" s="368"/>
      <c r="Q3" s="389"/>
      <c r="S3" s="388" t="str">
        <f>"Schedule of Accounts Receivable for "&amp;'(HIDE) Data Validation'!A7</f>
        <v>Schedule of Accounts Receivable for Burgers</v>
      </c>
      <c r="T3" s="368"/>
      <c r="U3" s="368"/>
      <c r="V3" s="368"/>
      <c r="W3" s="368"/>
      <c r="X3" s="368"/>
      <c r="Y3" s="368"/>
      <c r="Z3" s="368"/>
      <c r="AA3" s="368"/>
      <c r="AB3" s="368"/>
      <c r="AC3" s="368"/>
      <c r="AD3" s="368"/>
      <c r="AE3" s="368"/>
      <c r="AF3" s="368"/>
      <c r="AG3" s="368"/>
      <c r="AH3" s="389"/>
    </row>
    <row r="4" spans="2:34" ht="21" customHeight="1" x14ac:dyDescent="0.3">
      <c r="B4" s="375" t="s">
        <v>593</v>
      </c>
      <c r="C4" s="376"/>
      <c r="D4" s="376"/>
      <c r="E4" s="376"/>
      <c r="F4" s="376"/>
      <c r="G4" s="376"/>
      <c r="H4" s="376"/>
      <c r="I4" s="376"/>
      <c r="J4" s="376"/>
      <c r="K4" s="376"/>
      <c r="L4" s="376"/>
      <c r="M4" s="376"/>
      <c r="N4" s="376"/>
      <c r="O4" s="376"/>
      <c r="P4" s="376"/>
      <c r="Q4" s="377"/>
      <c r="S4" s="375" t="s">
        <v>593</v>
      </c>
      <c r="T4" s="376"/>
      <c r="U4" s="376"/>
      <c r="V4" s="376"/>
      <c r="W4" s="376"/>
      <c r="X4" s="376"/>
      <c r="Y4" s="376"/>
      <c r="Z4" s="376"/>
      <c r="AA4" s="376"/>
      <c r="AB4" s="376"/>
      <c r="AC4" s="376"/>
      <c r="AD4" s="376"/>
      <c r="AE4" s="376"/>
      <c r="AF4" s="376"/>
      <c r="AG4" s="376"/>
      <c r="AH4" s="377"/>
    </row>
    <row r="5" spans="2:34" ht="20.85" customHeight="1" x14ac:dyDescent="0.25">
      <c r="B5" s="380" t="s">
        <v>224</v>
      </c>
      <c r="C5" s="381"/>
      <c r="D5" s="384" t="s">
        <v>575</v>
      </c>
      <c r="E5" s="385"/>
      <c r="F5" s="385"/>
      <c r="G5" s="385"/>
      <c r="H5" s="385"/>
      <c r="I5" s="385"/>
      <c r="J5" s="385"/>
      <c r="K5" s="385"/>
      <c r="L5" s="385"/>
      <c r="M5" s="385"/>
      <c r="N5" s="385"/>
      <c r="O5" s="385"/>
      <c r="P5" s="385"/>
      <c r="Q5" s="386"/>
      <c r="S5" s="380"/>
      <c r="T5" s="381"/>
      <c r="U5" s="384" t="s">
        <v>575</v>
      </c>
      <c r="V5" s="385"/>
      <c r="W5" s="385"/>
      <c r="X5" s="385"/>
      <c r="Y5" s="385"/>
      <c r="Z5" s="385"/>
      <c r="AA5" s="385"/>
      <c r="AB5" s="385"/>
      <c r="AC5" s="385"/>
      <c r="AD5" s="385"/>
      <c r="AE5" s="385"/>
      <c r="AF5" s="385"/>
      <c r="AG5" s="385"/>
      <c r="AH5" s="386"/>
    </row>
    <row r="6" spans="2:34" ht="20.85" customHeight="1" x14ac:dyDescent="0.25">
      <c r="B6" s="382"/>
      <c r="C6" s="383"/>
      <c r="D6" s="190" t="s">
        <v>1</v>
      </c>
      <c r="E6" s="190" t="s">
        <v>2</v>
      </c>
      <c r="F6" s="190" t="s">
        <v>3</v>
      </c>
      <c r="G6" s="190" t="s">
        <v>4</v>
      </c>
      <c r="H6" s="190" t="s">
        <v>5</v>
      </c>
      <c r="I6" s="190" t="s">
        <v>6</v>
      </c>
      <c r="J6" s="190" t="s">
        <v>7</v>
      </c>
      <c r="K6" s="190" t="s">
        <v>8</v>
      </c>
      <c r="L6" s="190" t="s">
        <v>9</v>
      </c>
      <c r="M6" s="190" t="s">
        <v>10</v>
      </c>
      <c r="N6" s="190" t="s">
        <v>11</v>
      </c>
      <c r="O6" s="190" t="s">
        <v>12</v>
      </c>
      <c r="P6" s="260">
        <v>44197</v>
      </c>
      <c r="Q6" s="260">
        <v>44228</v>
      </c>
      <c r="S6" s="382" t="s">
        <v>224</v>
      </c>
      <c r="T6" s="383"/>
      <c r="U6" s="190" t="s">
        <v>1</v>
      </c>
      <c r="V6" s="190" t="s">
        <v>2</v>
      </c>
      <c r="W6" s="190" t="s">
        <v>3</v>
      </c>
      <c r="X6" s="190" t="s">
        <v>4</v>
      </c>
      <c r="Y6" s="190" t="s">
        <v>5</v>
      </c>
      <c r="Z6" s="190" t="s">
        <v>6</v>
      </c>
      <c r="AA6" s="190" t="s">
        <v>7</v>
      </c>
      <c r="AB6" s="190" t="s">
        <v>8</v>
      </c>
      <c r="AC6" s="190" t="s">
        <v>9</v>
      </c>
      <c r="AD6" s="190" t="s">
        <v>10</v>
      </c>
      <c r="AE6" s="190" t="s">
        <v>11</v>
      </c>
      <c r="AF6" s="190" t="s">
        <v>12</v>
      </c>
      <c r="AG6" s="260">
        <v>44197</v>
      </c>
      <c r="AH6" s="260">
        <v>44228</v>
      </c>
    </row>
    <row r="7" spans="2:34" x14ac:dyDescent="0.25">
      <c r="B7" s="186"/>
      <c r="C7" s="187"/>
      <c r="D7" s="188" t="s">
        <v>38</v>
      </c>
      <c r="E7" s="188" t="s">
        <v>38</v>
      </c>
      <c r="F7" s="188" t="s">
        <v>38</v>
      </c>
      <c r="G7" s="188" t="s">
        <v>38</v>
      </c>
      <c r="H7" s="188" t="s">
        <v>38</v>
      </c>
      <c r="I7" s="188" t="s">
        <v>38</v>
      </c>
      <c r="J7" s="188" t="s">
        <v>38</v>
      </c>
      <c r="K7" s="188" t="s">
        <v>38</v>
      </c>
      <c r="L7" s="188" t="s">
        <v>38</v>
      </c>
      <c r="M7" s="188" t="s">
        <v>38</v>
      </c>
      <c r="N7" s="188" t="s">
        <v>38</v>
      </c>
      <c r="O7" s="188" t="s">
        <v>38</v>
      </c>
      <c r="P7" s="188" t="s">
        <v>38</v>
      </c>
      <c r="Q7" s="188" t="s">
        <v>38</v>
      </c>
      <c r="S7" s="186"/>
      <c r="T7" s="187"/>
      <c r="U7" s="188" t="s">
        <v>38</v>
      </c>
      <c r="V7" s="188" t="s">
        <v>38</v>
      </c>
      <c r="W7" s="188" t="s">
        <v>38</v>
      </c>
      <c r="X7" s="188" t="s">
        <v>38</v>
      </c>
      <c r="Y7" s="188" t="s">
        <v>38</v>
      </c>
      <c r="Z7" s="188" t="s">
        <v>38</v>
      </c>
      <c r="AA7" s="188" t="s">
        <v>38</v>
      </c>
      <c r="AB7" s="188" t="s">
        <v>38</v>
      </c>
      <c r="AC7" s="188" t="s">
        <v>38</v>
      </c>
      <c r="AD7" s="188" t="s">
        <v>38</v>
      </c>
      <c r="AE7" s="188" t="s">
        <v>38</v>
      </c>
      <c r="AF7" s="188" t="s">
        <v>38</v>
      </c>
      <c r="AG7" s="188" t="s">
        <v>38</v>
      </c>
      <c r="AH7" s="188" t="s">
        <v>38</v>
      </c>
    </row>
    <row r="8" spans="2:34" x14ac:dyDescent="0.25">
      <c r="B8" s="258" t="s">
        <v>697</v>
      </c>
      <c r="C8" s="192">
        <f>'(HIDE) Data Validation'!AJ74</f>
        <v>110190</v>
      </c>
      <c r="D8" s="193">
        <f>'(HIDE) Data Validation'!AK74</f>
        <v>33057</v>
      </c>
      <c r="E8" s="193">
        <f>'(HIDE) Data Validation'!AL74</f>
        <v>0</v>
      </c>
      <c r="F8" s="193">
        <f>'(HIDE) Data Validation'!AM74</f>
        <v>0</v>
      </c>
      <c r="G8" s="193">
        <f>'(HIDE) Data Validation'!AN74</f>
        <v>0</v>
      </c>
      <c r="H8" s="193">
        <f>'(HIDE) Data Validation'!AO74</f>
        <v>0</v>
      </c>
      <c r="I8" s="193">
        <f>'(HIDE) Data Validation'!AP74</f>
        <v>0</v>
      </c>
      <c r="J8" s="193">
        <f>'(HIDE) Data Validation'!AQ74</f>
        <v>0</v>
      </c>
      <c r="K8" s="193">
        <f>'(HIDE) Data Validation'!AR74</f>
        <v>0</v>
      </c>
      <c r="L8" s="193">
        <f>'(HIDE) Data Validation'!AS74</f>
        <v>0</v>
      </c>
      <c r="M8" s="193">
        <f>'(HIDE) Data Validation'!AT74</f>
        <v>0</v>
      </c>
      <c r="N8" s="193">
        <f>'(HIDE) Data Validation'!AU74</f>
        <v>0</v>
      </c>
      <c r="O8" s="193">
        <f>'(HIDE) Data Validation'!AV74</f>
        <v>0</v>
      </c>
      <c r="P8" s="193">
        <f>'(HIDE) Data Validation'!AW74</f>
        <v>0</v>
      </c>
      <c r="Q8" s="193">
        <f>'(HIDE) Data Validation'!AX74</f>
        <v>0</v>
      </c>
      <c r="S8" s="270" t="s">
        <v>697</v>
      </c>
      <c r="T8" s="192">
        <f>'(HIDE) Data Validation'!AJ90</f>
        <v>91602</v>
      </c>
      <c r="U8" s="193">
        <f>'(HIDE) Data Validation'!AK90</f>
        <v>27480.600000000006</v>
      </c>
      <c r="V8" s="193">
        <f>'(HIDE) Data Validation'!AL90</f>
        <v>0</v>
      </c>
      <c r="W8" s="193">
        <f>'(HIDE) Data Validation'!AM90</f>
        <v>0</v>
      </c>
      <c r="X8" s="193">
        <f>'(HIDE) Data Validation'!AN90</f>
        <v>0</v>
      </c>
      <c r="Y8" s="193">
        <f>'(HIDE) Data Validation'!AO90</f>
        <v>0</v>
      </c>
      <c r="Z8" s="193">
        <f>'(HIDE) Data Validation'!AP90</f>
        <v>0</v>
      </c>
      <c r="AA8" s="193">
        <f>'(HIDE) Data Validation'!AQ90</f>
        <v>0</v>
      </c>
      <c r="AB8" s="193">
        <f>'(HIDE) Data Validation'!AR90</f>
        <v>0</v>
      </c>
      <c r="AC8" s="193">
        <f>'(HIDE) Data Validation'!AS90</f>
        <v>0</v>
      </c>
      <c r="AD8" s="193">
        <f>'(HIDE) Data Validation'!AT90</f>
        <v>0</v>
      </c>
      <c r="AE8" s="193">
        <f>'(HIDE) Data Validation'!AU90</f>
        <v>0</v>
      </c>
      <c r="AF8" s="193">
        <f>'(HIDE) Data Validation'!AV90</f>
        <v>0</v>
      </c>
      <c r="AG8" s="193">
        <f>'(HIDE) Data Validation'!AW90</f>
        <v>0</v>
      </c>
      <c r="AH8" s="193">
        <f>'(HIDE) Data Validation'!AX90</f>
        <v>0</v>
      </c>
    </row>
    <row r="9" spans="2:34" x14ac:dyDescent="0.25">
      <c r="B9" s="259" t="s">
        <v>698</v>
      </c>
      <c r="C9" s="37">
        <f>'(HIDE) Data Validation'!AJ75</f>
        <v>143029.20000000001</v>
      </c>
      <c r="D9" s="37">
        <f>'(HIDE) Data Validation'!AK75</f>
        <v>71514.600000000006</v>
      </c>
      <c r="E9" s="37">
        <f>'(HIDE) Data Validation'!AL75</f>
        <v>42908.760000000009</v>
      </c>
      <c r="F9" s="37">
        <f>'(HIDE) Data Validation'!AM75</f>
        <v>0</v>
      </c>
      <c r="G9" s="37">
        <f>'(HIDE) Data Validation'!AN75</f>
        <v>0</v>
      </c>
      <c r="H9" s="37">
        <f>'(HIDE) Data Validation'!AO75</f>
        <v>0</v>
      </c>
      <c r="I9" s="37">
        <f>'(HIDE) Data Validation'!AP75</f>
        <v>0</v>
      </c>
      <c r="J9" s="37">
        <f>'(HIDE) Data Validation'!AQ75</f>
        <v>0</v>
      </c>
      <c r="K9" s="37">
        <f>'(HIDE) Data Validation'!AR75</f>
        <v>0</v>
      </c>
      <c r="L9" s="37">
        <f>'(HIDE) Data Validation'!AS75</f>
        <v>0</v>
      </c>
      <c r="M9" s="37">
        <f>'(HIDE) Data Validation'!AT75</f>
        <v>0</v>
      </c>
      <c r="N9" s="37">
        <f>'(HIDE) Data Validation'!AU75</f>
        <v>0</v>
      </c>
      <c r="O9" s="37">
        <f>'(HIDE) Data Validation'!AV75</f>
        <v>0</v>
      </c>
      <c r="P9" s="37">
        <f>'(HIDE) Data Validation'!AW75</f>
        <v>0</v>
      </c>
      <c r="Q9" s="37">
        <f>'(HIDE) Data Validation'!AX75</f>
        <v>0</v>
      </c>
      <c r="S9" s="271" t="s">
        <v>698</v>
      </c>
      <c r="T9" s="37">
        <f>'(HIDE) Data Validation'!AJ91</f>
        <v>118902</v>
      </c>
      <c r="U9" s="37">
        <f>'(HIDE) Data Validation'!AK91</f>
        <v>59451</v>
      </c>
      <c r="V9" s="37">
        <f>'(HIDE) Data Validation'!AL91</f>
        <v>35670.600000000006</v>
      </c>
      <c r="W9" s="37">
        <f>'(HIDE) Data Validation'!AM91</f>
        <v>0</v>
      </c>
      <c r="X9" s="37">
        <f>'(HIDE) Data Validation'!AN91</f>
        <v>0</v>
      </c>
      <c r="Y9" s="37">
        <f>'(HIDE) Data Validation'!AO91</f>
        <v>0</v>
      </c>
      <c r="Z9" s="37">
        <f>'(HIDE) Data Validation'!AP91</f>
        <v>0</v>
      </c>
      <c r="AA9" s="37">
        <f>'(HIDE) Data Validation'!AQ91</f>
        <v>0</v>
      </c>
      <c r="AB9" s="37">
        <f>'(HIDE) Data Validation'!AR91</f>
        <v>0</v>
      </c>
      <c r="AC9" s="37">
        <f>'(HIDE) Data Validation'!AS91</f>
        <v>0</v>
      </c>
      <c r="AD9" s="37">
        <f>'(HIDE) Data Validation'!AT91</f>
        <v>0</v>
      </c>
      <c r="AE9" s="37">
        <f>'(HIDE) Data Validation'!AU91</f>
        <v>0</v>
      </c>
      <c r="AF9" s="37">
        <f>'(HIDE) Data Validation'!AV91</f>
        <v>0</v>
      </c>
      <c r="AG9" s="37">
        <f>'(HIDE) Data Validation'!AW91</f>
        <v>0</v>
      </c>
      <c r="AH9" s="37">
        <f>'(HIDE) Data Validation'!AX91</f>
        <v>0</v>
      </c>
    </row>
    <row r="10" spans="2:34" x14ac:dyDescent="0.25">
      <c r="B10" s="191" t="s">
        <v>1</v>
      </c>
      <c r="C10" s="192">
        <f>'(HIDE) Data Validation'!AJ76</f>
        <v>143029.20000000001</v>
      </c>
      <c r="D10" s="193">
        <f>'(HIDE) Data Validation'!AK76</f>
        <v>28605.84</v>
      </c>
      <c r="E10" s="193">
        <f>'(HIDE) Data Validation'!AL76</f>
        <v>71514.600000000006</v>
      </c>
      <c r="F10" s="193">
        <f>'(HIDE) Data Validation'!AM76</f>
        <v>42908.760000000009</v>
      </c>
      <c r="G10" s="193">
        <f>'(HIDE) Data Validation'!AN76</f>
        <v>0</v>
      </c>
      <c r="H10" s="193">
        <f>'(HIDE) Data Validation'!AO76</f>
        <v>0</v>
      </c>
      <c r="I10" s="193">
        <f>'(HIDE) Data Validation'!AP76</f>
        <v>0</v>
      </c>
      <c r="J10" s="193">
        <f>'(HIDE) Data Validation'!AQ76</f>
        <v>0</v>
      </c>
      <c r="K10" s="193">
        <f>'(HIDE) Data Validation'!AR76</f>
        <v>0</v>
      </c>
      <c r="L10" s="193">
        <f>'(HIDE) Data Validation'!AS76</f>
        <v>0</v>
      </c>
      <c r="M10" s="193">
        <f>'(HIDE) Data Validation'!AT76</f>
        <v>0</v>
      </c>
      <c r="N10" s="193">
        <f>'(HIDE) Data Validation'!AU76</f>
        <v>0</v>
      </c>
      <c r="O10" s="193">
        <f>'(HIDE) Data Validation'!AV76</f>
        <v>0</v>
      </c>
      <c r="P10" s="193">
        <f>'(HIDE) Data Validation'!AW76</f>
        <v>0</v>
      </c>
      <c r="Q10" s="193">
        <f>'(HIDE) Data Validation'!AX76</f>
        <v>0</v>
      </c>
      <c r="S10" s="272" t="s">
        <v>1</v>
      </c>
      <c r="T10" s="192">
        <f>'(HIDE) Data Validation'!AJ92</f>
        <v>118902</v>
      </c>
      <c r="U10" s="193">
        <f>'(HIDE) Data Validation'!AK92</f>
        <v>23780.400000000001</v>
      </c>
      <c r="V10" s="193">
        <f>'(HIDE) Data Validation'!AL92</f>
        <v>59451</v>
      </c>
      <c r="W10" s="193">
        <f>'(HIDE) Data Validation'!AM92</f>
        <v>35670.600000000006</v>
      </c>
      <c r="X10" s="193">
        <f>'(HIDE) Data Validation'!AN92</f>
        <v>0</v>
      </c>
      <c r="Y10" s="193">
        <f>'(HIDE) Data Validation'!AO92</f>
        <v>0</v>
      </c>
      <c r="Z10" s="193">
        <f>'(HIDE) Data Validation'!AP92</f>
        <v>0</v>
      </c>
      <c r="AA10" s="193">
        <f>'(HIDE) Data Validation'!AQ92</f>
        <v>0</v>
      </c>
      <c r="AB10" s="193">
        <f>'(HIDE) Data Validation'!AR92</f>
        <v>0</v>
      </c>
      <c r="AC10" s="193">
        <f>'(HIDE) Data Validation'!AS92</f>
        <v>0</v>
      </c>
      <c r="AD10" s="193">
        <f>'(HIDE) Data Validation'!AT92</f>
        <v>0</v>
      </c>
      <c r="AE10" s="193">
        <f>'(HIDE) Data Validation'!AU92</f>
        <v>0</v>
      </c>
      <c r="AF10" s="193">
        <f>'(HIDE) Data Validation'!AV92</f>
        <v>0</v>
      </c>
      <c r="AG10" s="193">
        <f>'(HIDE) Data Validation'!AW92</f>
        <v>0</v>
      </c>
      <c r="AH10" s="193">
        <f>'(HIDE) Data Validation'!AX92</f>
        <v>0</v>
      </c>
    </row>
    <row r="11" spans="2:34" x14ac:dyDescent="0.25">
      <c r="B11" s="22" t="s">
        <v>2</v>
      </c>
      <c r="C11" s="37">
        <f>'(HIDE) Data Validation'!AJ77</f>
        <v>93253.8</v>
      </c>
      <c r="D11" s="37">
        <f>'(HIDE) Data Validation'!AK77</f>
        <v>0</v>
      </c>
      <c r="E11" s="37">
        <f>'(HIDE) Data Validation'!AL77</f>
        <v>18650.759999999998</v>
      </c>
      <c r="F11" s="37">
        <f>'(HIDE) Data Validation'!AM77</f>
        <v>46626.9</v>
      </c>
      <c r="G11" s="37">
        <f>'(HIDE) Data Validation'!AN77</f>
        <v>27976.140000000007</v>
      </c>
      <c r="H11" s="37">
        <f>'(HIDE) Data Validation'!AO77</f>
        <v>0</v>
      </c>
      <c r="I11" s="37">
        <f>'(HIDE) Data Validation'!AP77</f>
        <v>0</v>
      </c>
      <c r="J11" s="37">
        <f>'(HIDE) Data Validation'!AQ77</f>
        <v>0</v>
      </c>
      <c r="K11" s="37">
        <f>'(HIDE) Data Validation'!AR77</f>
        <v>0</v>
      </c>
      <c r="L11" s="37">
        <f>'(HIDE) Data Validation'!AS77</f>
        <v>0</v>
      </c>
      <c r="M11" s="37">
        <f>'(HIDE) Data Validation'!AT77</f>
        <v>0</v>
      </c>
      <c r="N11" s="37">
        <f>'(HIDE) Data Validation'!AU77</f>
        <v>0</v>
      </c>
      <c r="O11" s="37">
        <f>'(HIDE) Data Validation'!AV77</f>
        <v>0</v>
      </c>
      <c r="P11" s="37">
        <f>'(HIDE) Data Validation'!AW77</f>
        <v>0</v>
      </c>
      <c r="Q11" s="37">
        <f>'(HIDE) Data Validation'!AX77</f>
        <v>0</v>
      </c>
      <c r="S11" s="273" t="s">
        <v>2</v>
      </c>
      <c r="T11" s="37">
        <f>'(HIDE) Data Validation'!AJ93</f>
        <v>77523</v>
      </c>
      <c r="U11" s="37">
        <f>'(HIDE) Data Validation'!AK93</f>
        <v>0</v>
      </c>
      <c r="V11" s="37">
        <f>'(HIDE) Data Validation'!AL93</f>
        <v>15504.6</v>
      </c>
      <c r="W11" s="37">
        <f>'(HIDE) Data Validation'!AM93</f>
        <v>38761.5</v>
      </c>
      <c r="X11" s="37">
        <f>'(HIDE) Data Validation'!AN93</f>
        <v>23256.9</v>
      </c>
      <c r="Y11" s="37">
        <f>'(HIDE) Data Validation'!AO93</f>
        <v>0</v>
      </c>
      <c r="Z11" s="37">
        <f>'(HIDE) Data Validation'!AP93</f>
        <v>0</v>
      </c>
      <c r="AA11" s="37">
        <f>'(HIDE) Data Validation'!AQ93</f>
        <v>0</v>
      </c>
      <c r="AB11" s="37">
        <f>'(HIDE) Data Validation'!AR93</f>
        <v>0</v>
      </c>
      <c r="AC11" s="37">
        <f>'(HIDE) Data Validation'!AS93</f>
        <v>0</v>
      </c>
      <c r="AD11" s="37">
        <f>'(HIDE) Data Validation'!AT93</f>
        <v>0</v>
      </c>
      <c r="AE11" s="37">
        <f>'(HIDE) Data Validation'!AU93</f>
        <v>0</v>
      </c>
      <c r="AF11" s="37">
        <f>'(HIDE) Data Validation'!AV93</f>
        <v>0</v>
      </c>
      <c r="AG11" s="37">
        <f>'(HIDE) Data Validation'!AW93</f>
        <v>0</v>
      </c>
      <c r="AH11" s="37">
        <f>'(HIDE) Data Validation'!AX93</f>
        <v>0</v>
      </c>
    </row>
    <row r="12" spans="2:34" x14ac:dyDescent="0.25">
      <c r="B12" s="191" t="s">
        <v>3</v>
      </c>
      <c r="C12" s="192">
        <f>'(HIDE) Data Validation'!AJ78</f>
        <v>0</v>
      </c>
      <c r="D12" s="193">
        <f>'(HIDE) Data Validation'!AK78</f>
        <v>0</v>
      </c>
      <c r="E12" s="193">
        <f>'(HIDE) Data Validation'!AL78</f>
        <v>0</v>
      </c>
      <c r="F12" s="193">
        <f>'(HIDE) Data Validation'!AM78</f>
        <v>0</v>
      </c>
      <c r="G12" s="193">
        <f>'(HIDE) Data Validation'!AN78</f>
        <v>0</v>
      </c>
      <c r="H12" s="193">
        <f>'(HIDE) Data Validation'!AO78</f>
        <v>0</v>
      </c>
      <c r="I12" s="193">
        <f>'(HIDE) Data Validation'!AP78</f>
        <v>0</v>
      </c>
      <c r="J12" s="193">
        <f>'(HIDE) Data Validation'!AQ78</f>
        <v>0</v>
      </c>
      <c r="K12" s="193">
        <f>'(HIDE) Data Validation'!AR78</f>
        <v>0</v>
      </c>
      <c r="L12" s="193">
        <f>'(HIDE) Data Validation'!AS78</f>
        <v>0</v>
      </c>
      <c r="M12" s="193">
        <f>'(HIDE) Data Validation'!AT78</f>
        <v>0</v>
      </c>
      <c r="N12" s="193">
        <f>'(HIDE) Data Validation'!AU78</f>
        <v>0</v>
      </c>
      <c r="O12" s="193">
        <f>'(HIDE) Data Validation'!AV78</f>
        <v>0</v>
      </c>
      <c r="P12" s="193">
        <f>'(HIDE) Data Validation'!AW78</f>
        <v>0</v>
      </c>
      <c r="Q12" s="193">
        <f>'(HIDE) Data Validation'!AX78</f>
        <v>0</v>
      </c>
      <c r="S12" s="272" t="s">
        <v>3</v>
      </c>
      <c r="T12" s="192">
        <f>'(HIDE) Data Validation'!AJ94</f>
        <v>0</v>
      </c>
      <c r="U12" s="193">
        <f>'(HIDE) Data Validation'!AK94</f>
        <v>0</v>
      </c>
      <c r="V12" s="193">
        <f>'(HIDE) Data Validation'!AL94</f>
        <v>0</v>
      </c>
      <c r="W12" s="193">
        <f>'(HIDE) Data Validation'!AM94</f>
        <v>0</v>
      </c>
      <c r="X12" s="193">
        <f>'(HIDE) Data Validation'!AN94</f>
        <v>0</v>
      </c>
      <c r="Y12" s="193">
        <f>'(HIDE) Data Validation'!AO94</f>
        <v>0</v>
      </c>
      <c r="Z12" s="193">
        <f>'(HIDE) Data Validation'!AP94</f>
        <v>0</v>
      </c>
      <c r="AA12" s="193">
        <f>'(HIDE) Data Validation'!AQ94</f>
        <v>0</v>
      </c>
      <c r="AB12" s="193">
        <f>'(HIDE) Data Validation'!AR94</f>
        <v>0</v>
      </c>
      <c r="AC12" s="193">
        <f>'(HIDE) Data Validation'!AS94</f>
        <v>0</v>
      </c>
      <c r="AD12" s="193">
        <f>'(HIDE) Data Validation'!AT94</f>
        <v>0</v>
      </c>
      <c r="AE12" s="193">
        <f>'(HIDE) Data Validation'!AU94</f>
        <v>0</v>
      </c>
      <c r="AF12" s="193">
        <f>'(HIDE) Data Validation'!AV94</f>
        <v>0</v>
      </c>
      <c r="AG12" s="193">
        <f>'(HIDE) Data Validation'!AW94</f>
        <v>0</v>
      </c>
      <c r="AH12" s="193">
        <f>'(HIDE) Data Validation'!AX94</f>
        <v>0</v>
      </c>
    </row>
    <row r="13" spans="2:34" x14ac:dyDescent="0.25">
      <c r="B13" s="22" t="s">
        <v>4</v>
      </c>
      <c r="C13" s="37">
        <f>'(HIDE) Data Validation'!AJ79</f>
        <v>0</v>
      </c>
      <c r="D13" s="37">
        <f>'(HIDE) Data Validation'!AK79</f>
        <v>0</v>
      </c>
      <c r="E13" s="37">
        <f>'(HIDE) Data Validation'!AL79</f>
        <v>0</v>
      </c>
      <c r="F13" s="37">
        <f>'(HIDE) Data Validation'!AM79</f>
        <v>0</v>
      </c>
      <c r="G13" s="37">
        <f>'(HIDE) Data Validation'!AN79</f>
        <v>0</v>
      </c>
      <c r="H13" s="37">
        <f>'(HIDE) Data Validation'!AO79</f>
        <v>0</v>
      </c>
      <c r="I13" s="37">
        <f>'(HIDE) Data Validation'!AP79</f>
        <v>0</v>
      </c>
      <c r="J13" s="37">
        <f>'(HIDE) Data Validation'!AQ79</f>
        <v>0</v>
      </c>
      <c r="K13" s="37">
        <f>'(HIDE) Data Validation'!AR79</f>
        <v>0</v>
      </c>
      <c r="L13" s="37">
        <f>'(HIDE) Data Validation'!AS79</f>
        <v>0</v>
      </c>
      <c r="M13" s="37">
        <f>'(HIDE) Data Validation'!AT79</f>
        <v>0</v>
      </c>
      <c r="N13" s="37">
        <f>'(HIDE) Data Validation'!AU79</f>
        <v>0</v>
      </c>
      <c r="O13" s="37">
        <f>'(HIDE) Data Validation'!AV79</f>
        <v>0</v>
      </c>
      <c r="P13" s="37">
        <f>'(HIDE) Data Validation'!AW79</f>
        <v>0</v>
      </c>
      <c r="Q13" s="37">
        <f>'(HIDE) Data Validation'!AX79</f>
        <v>0</v>
      </c>
      <c r="S13" s="273" t="s">
        <v>4</v>
      </c>
      <c r="T13" s="37">
        <f>'(HIDE) Data Validation'!AJ95</f>
        <v>0</v>
      </c>
      <c r="U13" s="37">
        <f>'(HIDE) Data Validation'!AK95</f>
        <v>0</v>
      </c>
      <c r="V13" s="37">
        <f>'(HIDE) Data Validation'!AL95</f>
        <v>0</v>
      </c>
      <c r="W13" s="37">
        <f>'(HIDE) Data Validation'!AM95</f>
        <v>0</v>
      </c>
      <c r="X13" s="37">
        <f>'(HIDE) Data Validation'!AN95</f>
        <v>0</v>
      </c>
      <c r="Y13" s="37">
        <f>'(HIDE) Data Validation'!AO95</f>
        <v>0</v>
      </c>
      <c r="Z13" s="37">
        <f>'(HIDE) Data Validation'!AP95</f>
        <v>0</v>
      </c>
      <c r="AA13" s="37">
        <f>'(HIDE) Data Validation'!AQ95</f>
        <v>0</v>
      </c>
      <c r="AB13" s="37">
        <f>'(HIDE) Data Validation'!AR95</f>
        <v>0</v>
      </c>
      <c r="AC13" s="37">
        <f>'(HIDE) Data Validation'!AS95</f>
        <v>0</v>
      </c>
      <c r="AD13" s="37">
        <f>'(HIDE) Data Validation'!AT95</f>
        <v>0</v>
      </c>
      <c r="AE13" s="37">
        <f>'(HIDE) Data Validation'!AU95</f>
        <v>0</v>
      </c>
      <c r="AF13" s="37">
        <f>'(HIDE) Data Validation'!AV95</f>
        <v>0</v>
      </c>
      <c r="AG13" s="37">
        <f>'(HIDE) Data Validation'!AW95</f>
        <v>0</v>
      </c>
      <c r="AH13" s="37">
        <f>'(HIDE) Data Validation'!AX95</f>
        <v>0</v>
      </c>
    </row>
    <row r="14" spans="2:34" x14ac:dyDescent="0.25">
      <c r="B14" s="191" t="s">
        <v>5</v>
      </c>
      <c r="C14" s="192">
        <f>'(HIDE) Data Validation'!AJ80</f>
        <v>0</v>
      </c>
      <c r="D14" s="193">
        <f>'(HIDE) Data Validation'!AK80</f>
        <v>0</v>
      </c>
      <c r="E14" s="193">
        <f>'(HIDE) Data Validation'!AL80</f>
        <v>0</v>
      </c>
      <c r="F14" s="193">
        <f>'(HIDE) Data Validation'!AM80</f>
        <v>0</v>
      </c>
      <c r="G14" s="193">
        <f>'(HIDE) Data Validation'!AN80</f>
        <v>0</v>
      </c>
      <c r="H14" s="193">
        <f>'(HIDE) Data Validation'!AO80</f>
        <v>0</v>
      </c>
      <c r="I14" s="193">
        <f>'(HIDE) Data Validation'!AP80</f>
        <v>0</v>
      </c>
      <c r="J14" s="193">
        <f>'(HIDE) Data Validation'!AQ80</f>
        <v>0</v>
      </c>
      <c r="K14" s="193">
        <f>'(HIDE) Data Validation'!AR80</f>
        <v>0</v>
      </c>
      <c r="L14" s="193">
        <f>'(HIDE) Data Validation'!AS80</f>
        <v>0</v>
      </c>
      <c r="M14" s="193">
        <f>'(HIDE) Data Validation'!AT80</f>
        <v>0</v>
      </c>
      <c r="N14" s="193">
        <f>'(HIDE) Data Validation'!AU80</f>
        <v>0</v>
      </c>
      <c r="O14" s="193">
        <f>'(HIDE) Data Validation'!AV80</f>
        <v>0</v>
      </c>
      <c r="P14" s="193">
        <f>'(HIDE) Data Validation'!AW80</f>
        <v>0</v>
      </c>
      <c r="Q14" s="193">
        <f>'(HIDE) Data Validation'!AX80</f>
        <v>0</v>
      </c>
      <c r="S14" s="272" t="s">
        <v>5</v>
      </c>
      <c r="T14" s="192">
        <f>'(HIDE) Data Validation'!AJ96</f>
        <v>0</v>
      </c>
      <c r="U14" s="193">
        <f>'(HIDE) Data Validation'!AK96</f>
        <v>0</v>
      </c>
      <c r="V14" s="193">
        <f>'(HIDE) Data Validation'!AL96</f>
        <v>0</v>
      </c>
      <c r="W14" s="193">
        <f>'(HIDE) Data Validation'!AM96</f>
        <v>0</v>
      </c>
      <c r="X14" s="193">
        <f>'(HIDE) Data Validation'!AN96</f>
        <v>0</v>
      </c>
      <c r="Y14" s="193">
        <f>'(HIDE) Data Validation'!AO96</f>
        <v>0</v>
      </c>
      <c r="Z14" s="193">
        <f>'(HIDE) Data Validation'!AP96</f>
        <v>0</v>
      </c>
      <c r="AA14" s="193">
        <f>'(HIDE) Data Validation'!AQ96</f>
        <v>0</v>
      </c>
      <c r="AB14" s="193">
        <f>'(HIDE) Data Validation'!AR96</f>
        <v>0</v>
      </c>
      <c r="AC14" s="193">
        <f>'(HIDE) Data Validation'!AS96</f>
        <v>0</v>
      </c>
      <c r="AD14" s="193">
        <f>'(HIDE) Data Validation'!AT96</f>
        <v>0</v>
      </c>
      <c r="AE14" s="193">
        <f>'(HIDE) Data Validation'!AU96</f>
        <v>0</v>
      </c>
      <c r="AF14" s="193">
        <f>'(HIDE) Data Validation'!AV96</f>
        <v>0</v>
      </c>
      <c r="AG14" s="193">
        <f>'(HIDE) Data Validation'!AW96</f>
        <v>0</v>
      </c>
      <c r="AH14" s="193">
        <f>'(HIDE) Data Validation'!AX96</f>
        <v>0</v>
      </c>
    </row>
    <row r="15" spans="2:34" x14ac:dyDescent="0.25">
      <c r="B15" s="22" t="s">
        <v>6</v>
      </c>
      <c r="C15" s="37">
        <f>'(HIDE) Data Validation'!AJ81</f>
        <v>0</v>
      </c>
      <c r="D15" s="37">
        <f>'(HIDE) Data Validation'!AK81</f>
        <v>0</v>
      </c>
      <c r="E15" s="37">
        <f>'(HIDE) Data Validation'!AL81</f>
        <v>0</v>
      </c>
      <c r="F15" s="37">
        <f>'(HIDE) Data Validation'!AM81</f>
        <v>0</v>
      </c>
      <c r="G15" s="37">
        <f>'(HIDE) Data Validation'!AN81</f>
        <v>0</v>
      </c>
      <c r="H15" s="37">
        <f>'(HIDE) Data Validation'!AO81</f>
        <v>0</v>
      </c>
      <c r="I15" s="37">
        <f>'(HIDE) Data Validation'!AP81</f>
        <v>0</v>
      </c>
      <c r="J15" s="37">
        <f>'(HIDE) Data Validation'!AQ81</f>
        <v>0</v>
      </c>
      <c r="K15" s="37">
        <f>'(HIDE) Data Validation'!AR81</f>
        <v>0</v>
      </c>
      <c r="L15" s="37">
        <f>'(HIDE) Data Validation'!AS81</f>
        <v>0</v>
      </c>
      <c r="M15" s="37">
        <f>'(HIDE) Data Validation'!AT81</f>
        <v>0</v>
      </c>
      <c r="N15" s="37">
        <f>'(HIDE) Data Validation'!AU81</f>
        <v>0</v>
      </c>
      <c r="O15" s="37">
        <f>'(HIDE) Data Validation'!AV81</f>
        <v>0</v>
      </c>
      <c r="P15" s="37">
        <f>'(HIDE) Data Validation'!AW81</f>
        <v>0</v>
      </c>
      <c r="Q15" s="37">
        <f>'(HIDE) Data Validation'!AX81</f>
        <v>0</v>
      </c>
      <c r="S15" s="273" t="s">
        <v>6</v>
      </c>
      <c r="T15" s="37">
        <f>'(HIDE) Data Validation'!AJ97</f>
        <v>0</v>
      </c>
      <c r="U15" s="37">
        <f>'(HIDE) Data Validation'!AK97</f>
        <v>0</v>
      </c>
      <c r="V15" s="37">
        <f>'(HIDE) Data Validation'!AL97</f>
        <v>0</v>
      </c>
      <c r="W15" s="37">
        <f>'(HIDE) Data Validation'!AM97</f>
        <v>0</v>
      </c>
      <c r="X15" s="37">
        <f>'(HIDE) Data Validation'!AN97</f>
        <v>0</v>
      </c>
      <c r="Y15" s="37">
        <f>'(HIDE) Data Validation'!AO97</f>
        <v>0</v>
      </c>
      <c r="Z15" s="37">
        <f>'(HIDE) Data Validation'!AP97</f>
        <v>0</v>
      </c>
      <c r="AA15" s="37">
        <f>'(HIDE) Data Validation'!AQ97</f>
        <v>0</v>
      </c>
      <c r="AB15" s="37">
        <f>'(HIDE) Data Validation'!AR97</f>
        <v>0</v>
      </c>
      <c r="AC15" s="37">
        <f>'(HIDE) Data Validation'!AS97</f>
        <v>0</v>
      </c>
      <c r="AD15" s="37">
        <f>'(HIDE) Data Validation'!AT97</f>
        <v>0</v>
      </c>
      <c r="AE15" s="37">
        <f>'(HIDE) Data Validation'!AU97</f>
        <v>0</v>
      </c>
      <c r="AF15" s="37">
        <f>'(HIDE) Data Validation'!AV97</f>
        <v>0</v>
      </c>
      <c r="AG15" s="37">
        <f>'(HIDE) Data Validation'!AW97</f>
        <v>0</v>
      </c>
      <c r="AH15" s="37">
        <f>'(HIDE) Data Validation'!AX97</f>
        <v>0</v>
      </c>
    </row>
    <row r="16" spans="2:34" x14ac:dyDescent="0.25">
      <c r="B16" s="191" t="s">
        <v>7</v>
      </c>
      <c r="C16" s="192">
        <f>'(HIDE) Data Validation'!AJ82</f>
        <v>0</v>
      </c>
      <c r="D16" s="193">
        <f>'(HIDE) Data Validation'!AK82</f>
        <v>0</v>
      </c>
      <c r="E16" s="193">
        <f>'(HIDE) Data Validation'!AL82</f>
        <v>0</v>
      </c>
      <c r="F16" s="193">
        <f>'(HIDE) Data Validation'!AM82</f>
        <v>0</v>
      </c>
      <c r="G16" s="193">
        <f>'(HIDE) Data Validation'!AN82</f>
        <v>0</v>
      </c>
      <c r="H16" s="193">
        <f>'(HIDE) Data Validation'!AO82</f>
        <v>0</v>
      </c>
      <c r="I16" s="193">
        <f>'(HIDE) Data Validation'!AP82</f>
        <v>0</v>
      </c>
      <c r="J16" s="193">
        <f>'(HIDE) Data Validation'!AQ82</f>
        <v>0</v>
      </c>
      <c r="K16" s="193">
        <f>'(HIDE) Data Validation'!AR82</f>
        <v>0</v>
      </c>
      <c r="L16" s="193">
        <f>'(HIDE) Data Validation'!AS82</f>
        <v>0</v>
      </c>
      <c r="M16" s="193">
        <f>'(HIDE) Data Validation'!AT82</f>
        <v>0</v>
      </c>
      <c r="N16" s="193">
        <f>'(HIDE) Data Validation'!AU82</f>
        <v>0</v>
      </c>
      <c r="O16" s="193">
        <f>'(HIDE) Data Validation'!AV82</f>
        <v>0</v>
      </c>
      <c r="P16" s="193">
        <f>'(HIDE) Data Validation'!AW82</f>
        <v>0</v>
      </c>
      <c r="Q16" s="193">
        <f>'(HIDE) Data Validation'!AX82</f>
        <v>0</v>
      </c>
      <c r="S16" s="272" t="s">
        <v>7</v>
      </c>
      <c r="T16" s="192">
        <f>'(HIDE) Data Validation'!AJ98</f>
        <v>0</v>
      </c>
      <c r="U16" s="193">
        <f>'(HIDE) Data Validation'!AK98</f>
        <v>0</v>
      </c>
      <c r="V16" s="193">
        <f>'(HIDE) Data Validation'!AL98</f>
        <v>0</v>
      </c>
      <c r="W16" s="193">
        <f>'(HIDE) Data Validation'!AM98</f>
        <v>0</v>
      </c>
      <c r="X16" s="193">
        <f>'(HIDE) Data Validation'!AN98</f>
        <v>0</v>
      </c>
      <c r="Y16" s="193">
        <f>'(HIDE) Data Validation'!AO98</f>
        <v>0</v>
      </c>
      <c r="Z16" s="193">
        <f>'(HIDE) Data Validation'!AP98</f>
        <v>0</v>
      </c>
      <c r="AA16" s="193">
        <f>'(HIDE) Data Validation'!AQ98</f>
        <v>0</v>
      </c>
      <c r="AB16" s="193">
        <f>'(HIDE) Data Validation'!AR98</f>
        <v>0</v>
      </c>
      <c r="AC16" s="193">
        <f>'(HIDE) Data Validation'!AS98</f>
        <v>0</v>
      </c>
      <c r="AD16" s="193">
        <f>'(HIDE) Data Validation'!AT98</f>
        <v>0</v>
      </c>
      <c r="AE16" s="193">
        <f>'(HIDE) Data Validation'!AU98</f>
        <v>0</v>
      </c>
      <c r="AF16" s="193">
        <f>'(HIDE) Data Validation'!AV98</f>
        <v>0</v>
      </c>
      <c r="AG16" s="193">
        <f>'(HIDE) Data Validation'!AW98</f>
        <v>0</v>
      </c>
      <c r="AH16" s="193">
        <f>'(HIDE) Data Validation'!AX98</f>
        <v>0</v>
      </c>
    </row>
    <row r="17" spans="2:34" x14ac:dyDescent="0.25">
      <c r="B17" s="22" t="s">
        <v>8</v>
      </c>
      <c r="C17" s="37">
        <f>'(HIDE) Data Validation'!AJ83</f>
        <v>0</v>
      </c>
      <c r="D17" s="37">
        <f>'(HIDE) Data Validation'!AK83</f>
        <v>0</v>
      </c>
      <c r="E17" s="37">
        <f>'(HIDE) Data Validation'!AL83</f>
        <v>0</v>
      </c>
      <c r="F17" s="37">
        <f>'(HIDE) Data Validation'!AM83</f>
        <v>0</v>
      </c>
      <c r="G17" s="37">
        <f>'(HIDE) Data Validation'!AN83</f>
        <v>0</v>
      </c>
      <c r="H17" s="37">
        <f>'(HIDE) Data Validation'!AO83</f>
        <v>0</v>
      </c>
      <c r="I17" s="37">
        <f>'(HIDE) Data Validation'!AP83</f>
        <v>0</v>
      </c>
      <c r="J17" s="37">
        <f>'(HIDE) Data Validation'!AQ83</f>
        <v>0</v>
      </c>
      <c r="K17" s="37">
        <f>'(HIDE) Data Validation'!AR83</f>
        <v>0</v>
      </c>
      <c r="L17" s="37">
        <f>'(HIDE) Data Validation'!AS83</f>
        <v>0</v>
      </c>
      <c r="M17" s="37">
        <f>'(HIDE) Data Validation'!AT83</f>
        <v>0</v>
      </c>
      <c r="N17" s="37">
        <f>'(HIDE) Data Validation'!AU83</f>
        <v>0</v>
      </c>
      <c r="O17" s="37">
        <f>'(HIDE) Data Validation'!AV83</f>
        <v>0</v>
      </c>
      <c r="P17" s="37">
        <f>'(HIDE) Data Validation'!AW83</f>
        <v>0</v>
      </c>
      <c r="Q17" s="37">
        <f>'(HIDE) Data Validation'!AX83</f>
        <v>0</v>
      </c>
      <c r="S17" s="273" t="s">
        <v>8</v>
      </c>
      <c r="T17" s="37">
        <f>'(HIDE) Data Validation'!AJ99</f>
        <v>0</v>
      </c>
      <c r="U17" s="37">
        <f>'(HIDE) Data Validation'!AK99</f>
        <v>0</v>
      </c>
      <c r="V17" s="37">
        <f>'(HIDE) Data Validation'!AL99</f>
        <v>0</v>
      </c>
      <c r="W17" s="37">
        <f>'(HIDE) Data Validation'!AM99</f>
        <v>0</v>
      </c>
      <c r="X17" s="37">
        <f>'(HIDE) Data Validation'!AN99</f>
        <v>0</v>
      </c>
      <c r="Y17" s="37">
        <f>'(HIDE) Data Validation'!AO99</f>
        <v>0</v>
      </c>
      <c r="Z17" s="37">
        <f>'(HIDE) Data Validation'!AP99</f>
        <v>0</v>
      </c>
      <c r="AA17" s="37">
        <f>'(HIDE) Data Validation'!AQ99</f>
        <v>0</v>
      </c>
      <c r="AB17" s="37">
        <f>'(HIDE) Data Validation'!AR99</f>
        <v>0</v>
      </c>
      <c r="AC17" s="37">
        <f>'(HIDE) Data Validation'!AS99</f>
        <v>0</v>
      </c>
      <c r="AD17" s="37">
        <f>'(HIDE) Data Validation'!AT99</f>
        <v>0</v>
      </c>
      <c r="AE17" s="37">
        <f>'(HIDE) Data Validation'!AU99</f>
        <v>0</v>
      </c>
      <c r="AF17" s="37">
        <f>'(HIDE) Data Validation'!AV99</f>
        <v>0</v>
      </c>
      <c r="AG17" s="37">
        <f>'(HIDE) Data Validation'!AW99</f>
        <v>0</v>
      </c>
      <c r="AH17" s="37">
        <f>'(HIDE) Data Validation'!AX99</f>
        <v>0</v>
      </c>
    </row>
    <row r="18" spans="2:34" x14ac:dyDescent="0.25">
      <c r="B18" s="191" t="s">
        <v>9</v>
      </c>
      <c r="C18" s="192">
        <f>'(HIDE) Data Validation'!AJ84</f>
        <v>0</v>
      </c>
      <c r="D18" s="193">
        <f>'(HIDE) Data Validation'!AK84</f>
        <v>0</v>
      </c>
      <c r="E18" s="193">
        <f>'(HIDE) Data Validation'!AL84</f>
        <v>0</v>
      </c>
      <c r="F18" s="193">
        <f>'(HIDE) Data Validation'!AM84</f>
        <v>0</v>
      </c>
      <c r="G18" s="193">
        <f>'(HIDE) Data Validation'!AN84</f>
        <v>0</v>
      </c>
      <c r="H18" s="193">
        <f>'(HIDE) Data Validation'!AO84</f>
        <v>0</v>
      </c>
      <c r="I18" s="193">
        <f>'(HIDE) Data Validation'!AP84</f>
        <v>0</v>
      </c>
      <c r="J18" s="193">
        <f>'(HIDE) Data Validation'!AQ84</f>
        <v>0</v>
      </c>
      <c r="K18" s="193">
        <f>'(HIDE) Data Validation'!AR84</f>
        <v>0</v>
      </c>
      <c r="L18" s="193">
        <f>'(HIDE) Data Validation'!AS84</f>
        <v>0</v>
      </c>
      <c r="M18" s="193">
        <f>'(HIDE) Data Validation'!AT84</f>
        <v>0</v>
      </c>
      <c r="N18" s="193">
        <f>'(HIDE) Data Validation'!AU84</f>
        <v>0</v>
      </c>
      <c r="O18" s="193">
        <f>'(HIDE) Data Validation'!AV84</f>
        <v>0</v>
      </c>
      <c r="P18" s="193">
        <f>'(HIDE) Data Validation'!AW84</f>
        <v>0</v>
      </c>
      <c r="Q18" s="193">
        <f>'(HIDE) Data Validation'!AX84</f>
        <v>0</v>
      </c>
      <c r="S18" s="272" t="s">
        <v>9</v>
      </c>
      <c r="T18" s="192">
        <f>'(HIDE) Data Validation'!AJ100</f>
        <v>0</v>
      </c>
      <c r="U18" s="193">
        <f>'(HIDE) Data Validation'!AK100</f>
        <v>0</v>
      </c>
      <c r="V18" s="193">
        <f>'(HIDE) Data Validation'!AL100</f>
        <v>0</v>
      </c>
      <c r="W18" s="193">
        <f>'(HIDE) Data Validation'!AM100</f>
        <v>0</v>
      </c>
      <c r="X18" s="193">
        <f>'(HIDE) Data Validation'!AN100</f>
        <v>0</v>
      </c>
      <c r="Y18" s="193">
        <f>'(HIDE) Data Validation'!AO100</f>
        <v>0</v>
      </c>
      <c r="Z18" s="193">
        <f>'(HIDE) Data Validation'!AP100</f>
        <v>0</v>
      </c>
      <c r="AA18" s="193">
        <f>'(HIDE) Data Validation'!AQ100</f>
        <v>0</v>
      </c>
      <c r="AB18" s="193">
        <f>'(HIDE) Data Validation'!AR100</f>
        <v>0</v>
      </c>
      <c r="AC18" s="193">
        <f>'(HIDE) Data Validation'!AS100</f>
        <v>0</v>
      </c>
      <c r="AD18" s="193">
        <f>'(HIDE) Data Validation'!AT100</f>
        <v>0</v>
      </c>
      <c r="AE18" s="193">
        <f>'(HIDE) Data Validation'!AU100</f>
        <v>0</v>
      </c>
      <c r="AF18" s="193">
        <f>'(HIDE) Data Validation'!AV100</f>
        <v>0</v>
      </c>
      <c r="AG18" s="193">
        <f>'(HIDE) Data Validation'!AW100</f>
        <v>0</v>
      </c>
      <c r="AH18" s="193">
        <f>'(HIDE) Data Validation'!AX100</f>
        <v>0</v>
      </c>
    </row>
    <row r="19" spans="2:34" x14ac:dyDescent="0.25">
      <c r="B19" s="22" t="s">
        <v>10</v>
      </c>
      <c r="C19" s="37">
        <f>'(HIDE) Data Validation'!AJ85</f>
        <v>0</v>
      </c>
      <c r="D19" s="37">
        <f>'(HIDE) Data Validation'!AK85</f>
        <v>0</v>
      </c>
      <c r="E19" s="37">
        <f>'(HIDE) Data Validation'!AL85</f>
        <v>0</v>
      </c>
      <c r="F19" s="37">
        <f>'(HIDE) Data Validation'!AM85</f>
        <v>0</v>
      </c>
      <c r="G19" s="37">
        <f>'(HIDE) Data Validation'!AN85</f>
        <v>0</v>
      </c>
      <c r="H19" s="37">
        <f>'(HIDE) Data Validation'!AO85</f>
        <v>0</v>
      </c>
      <c r="I19" s="37">
        <f>'(HIDE) Data Validation'!AP85</f>
        <v>0</v>
      </c>
      <c r="J19" s="37">
        <f>'(HIDE) Data Validation'!AQ85</f>
        <v>0</v>
      </c>
      <c r="K19" s="37">
        <f>'(HIDE) Data Validation'!AR85</f>
        <v>0</v>
      </c>
      <c r="L19" s="37">
        <f>'(HIDE) Data Validation'!AS85</f>
        <v>0</v>
      </c>
      <c r="M19" s="37">
        <f>'(HIDE) Data Validation'!AT85</f>
        <v>0</v>
      </c>
      <c r="N19" s="37">
        <f>'(HIDE) Data Validation'!AU85</f>
        <v>0</v>
      </c>
      <c r="O19" s="37">
        <f>'(HIDE) Data Validation'!AV85</f>
        <v>0</v>
      </c>
      <c r="P19" s="37">
        <f>'(HIDE) Data Validation'!AW85</f>
        <v>0</v>
      </c>
      <c r="Q19" s="37">
        <f>'(HIDE) Data Validation'!AX85</f>
        <v>0</v>
      </c>
      <c r="S19" s="273" t="s">
        <v>10</v>
      </c>
      <c r="T19" s="37">
        <f>'(HIDE) Data Validation'!AJ101</f>
        <v>0</v>
      </c>
      <c r="U19" s="37">
        <f>'(HIDE) Data Validation'!AK101</f>
        <v>0</v>
      </c>
      <c r="V19" s="37">
        <f>'(HIDE) Data Validation'!AL101</f>
        <v>0</v>
      </c>
      <c r="W19" s="37">
        <f>'(HIDE) Data Validation'!AM101</f>
        <v>0</v>
      </c>
      <c r="X19" s="37">
        <f>'(HIDE) Data Validation'!AN101</f>
        <v>0</v>
      </c>
      <c r="Y19" s="37">
        <f>'(HIDE) Data Validation'!AO101</f>
        <v>0</v>
      </c>
      <c r="Z19" s="37">
        <f>'(HIDE) Data Validation'!AP101</f>
        <v>0</v>
      </c>
      <c r="AA19" s="37">
        <f>'(HIDE) Data Validation'!AQ101</f>
        <v>0</v>
      </c>
      <c r="AB19" s="37">
        <f>'(HIDE) Data Validation'!AR101</f>
        <v>0</v>
      </c>
      <c r="AC19" s="37">
        <f>'(HIDE) Data Validation'!AS101</f>
        <v>0</v>
      </c>
      <c r="AD19" s="37">
        <f>'(HIDE) Data Validation'!AT101</f>
        <v>0</v>
      </c>
      <c r="AE19" s="37">
        <f>'(HIDE) Data Validation'!AU101</f>
        <v>0</v>
      </c>
      <c r="AF19" s="37">
        <f>'(HIDE) Data Validation'!AV101</f>
        <v>0</v>
      </c>
      <c r="AG19" s="37">
        <f>'(HIDE) Data Validation'!AW101</f>
        <v>0</v>
      </c>
      <c r="AH19" s="37">
        <f>'(HIDE) Data Validation'!AX101</f>
        <v>0</v>
      </c>
    </row>
    <row r="20" spans="2:34" x14ac:dyDescent="0.25">
      <c r="B20" s="191" t="s">
        <v>11</v>
      </c>
      <c r="C20" s="192">
        <f>'(HIDE) Data Validation'!AJ86</f>
        <v>0</v>
      </c>
      <c r="D20" s="193">
        <f>'(HIDE) Data Validation'!AK86</f>
        <v>0</v>
      </c>
      <c r="E20" s="193">
        <f>'(HIDE) Data Validation'!AL86</f>
        <v>0</v>
      </c>
      <c r="F20" s="193">
        <f>'(HIDE) Data Validation'!AM86</f>
        <v>0</v>
      </c>
      <c r="G20" s="193">
        <f>'(HIDE) Data Validation'!AN86</f>
        <v>0</v>
      </c>
      <c r="H20" s="193">
        <f>'(HIDE) Data Validation'!AO86</f>
        <v>0</v>
      </c>
      <c r="I20" s="193">
        <f>'(HIDE) Data Validation'!AP86</f>
        <v>0</v>
      </c>
      <c r="J20" s="193">
        <f>'(HIDE) Data Validation'!AQ86</f>
        <v>0</v>
      </c>
      <c r="K20" s="193">
        <f>'(HIDE) Data Validation'!AR86</f>
        <v>0</v>
      </c>
      <c r="L20" s="193">
        <f>'(HIDE) Data Validation'!AS86</f>
        <v>0</v>
      </c>
      <c r="M20" s="193">
        <f>'(HIDE) Data Validation'!AT86</f>
        <v>0</v>
      </c>
      <c r="N20" s="193">
        <f>'(HIDE) Data Validation'!AU86</f>
        <v>0</v>
      </c>
      <c r="O20" s="193">
        <f>'(HIDE) Data Validation'!AV86</f>
        <v>0</v>
      </c>
      <c r="P20" s="193">
        <f>'(HIDE) Data Validation'!AW86</f>
        <v>0</v>
      </c>
      <c r="Q20" s="193">
        <f>'(HIDE) Data Validation'!AX86</f>
        <v>0</v>
      </c>
      <c r="S20" s="272" t="s">
        <v>11</v>
      </c>
      <c r="T20" s="192">
        <f>'(HIDE) Data Validation'!AJ102</f>
        <v>0</v>
      </c>
      <c r="U20" s="193">
        <f>'(HIDE) Data Validation'!AK102</f>
        <v>0</v>
      </c>
      <c r="V20" s="193">
        <f>'(HIDE) Data Validation'!AL102</f>
        <v>0</v>
      </c>
      <c r="W20" s="193">
        <f>'(HIDE) Data Validation'!AM102</f>
        <v>0</v>
      </c>
      <c r="X20" s="193">
        <f>'(HIDE) Data Validation'!AN102</f>
        <v>0</v>
      </c>
      <c r="Y20" s="193">
        <f>'(HIDE) Data Validation'!AO102</f>
        <v>0</v>
      </c>
      <c r="Z20" s="193">
        <f>'(HIDE) Data Validation'!AP102</f>
        <v>0</v>
      </c>
      <c r="AA20" s="193">
        <f>'(HIDE) Data Validation'!AQ102</f>
        <v>0</v>
      </c>
      <c r="AB20" s="193">
        <f>'(HIDE) Data Validation'!AR102</f>
        <v>0</v>
      </c>
      <c r="AC20" s="193">
        <f>'(HIDE) Data Validation'!AS102</f>
        <v>0</v>
      </c>
      <c r="AD20" s="193">
        <f>'(HIDE) Data Validation'!AT102</f>
        <v>0</v>
      </c>
      <c r="AE20" s="193">
        <f>'(HIDE) Data Validation'!AU102</f>
        <v>0</v>
      </c>
      <c r="AF20" s="193">
        <f>'(HIDE) Data Validation'!AV102</f>
        <v>0</v>
      </c>
      <c r="AG20" s="193">
        <f>'(HIDE) Data Validation'!AW102</f>
        <v>0</v>
      </c>
      <c r="AH20" s="193">
        <f>'(HIDE) Data Validation'!AX102</f>
        <v>0</v>
      </c>
    </row>
    <row r="21" spans="2:34" x14ac:dyDescent="0.25">
      <c r="B21" s="22" t="s">
        <v>12</v>
      </c>
      <c r="C21" s="37">
        <f>'(HIDE) Data Validation'!AJ87</f>
        <v>0</v>
      </c>
      <c r="D21" s="37">
        <f>'(HIDE) Data Validation'!AK87</f>
        <v>0</v>
      </c>
      <c r="E21" s="37">
        <f>'(HIDE) Data Validation'!AL87</f>
        <v>0</v>
      </c>
      <c r="F21" s="37">
        <f>'(HIDE) Data Validation'!AM87</f>
        <v>0</v>
      </c>
      <c r="G21" s="37">
        <f>'(HIDE) Data Validation'!AN87</f>
        <v>0</v>
      </c>
      <c r="H21" s="37">
        <f>'(HIDE) Data Validation'!AO87</f>
        <v>0</v>
      </c>
      <c r="I21" s="37">
        <f>'(HIDE) Data Validation'!AP87</f>
        <v>0</v>
      </c>
      <c r="J21" s="37">
        <f>'(HIDE) Data Validation'!AQ87</f>
        <v>0</v>
      </c>
      <c r="K21" s="37">
        <f>'(HIDE) Data Validation'!AR87</f>
        <v>0</v>
      </c>
      <c r="L21" s="37">
        <f>'(HIDE) Data Validation'!AS87</f>
        <v>0</v>
      </c>
      <c r="M21" s="37">
        <f>'(HIDE) Data Validation'!AT87</f>
        <v>0</v>
      </c>
      <c r="N21" s="37">
        <f>'(HIDE) Data Validation'!AU87</f>
        <v>0</v>
      </c>
      <c r="O21" s="37">
        <f>'(HIDE) Data Validation'!AV87</f>
        <v>0</v>
      </c>
      <c r="P21" s="37">
        <f>'(HIDE) Data Validation'!AW87</f>
        <v>0</v>
      </c>
      <c r="Q21" s="37">
        <f>'(HIDE) Data Validation'!AX87</f>
        <v>0</v>
      </c>
      <c r="R21" s="261"/>
      <c r="S21" s="273" t="s">
        <v>12</v>
      </c>
      <c r="T21" s="37">
        <f>'(HIDE) Data Validation'!AJ103</f>
        <v>0</v>
      </c>
      <c r="U21" s="37">
        <f>'(HIDE) Data Validation'!AK103</f>
        <v>0</v>
      </c>
      <c r="V21" s="37">
        <f>'(HIDE) Data Validation'!AL103</f>
        <v>0</v>
      </c>
      <c r="W21" s="37">
        <f>'(HIDE) Data Validation'!AM103</f>
        <v>0</v>
      </c>
      <c r="X21" s="37">
        <f>'(HIDE) Data Validation'!AN103</f>
        <v>0</v>
      </c>
      <c r="Y21" s="37">
        <f>'(HIDE) Data Validation'!AO103</f>
        <v>0</v>
      </c>
      <c r="Z21" s="37">
        <f>'(HIDE) Data Validation'!AP103</f>
        <v>0</v>
      </c>
      <c r="AA21" s="37">
        <f>'(HIDE) Data Validation'!AQ103</f>
        <v>0</v>
      </c>
      <c r="AB21" s="37">
        <f>'(HIDE) Data Validation'!AR103</f>
        <v>0</v>
      </c>
      <c r="AC21" s="37">
        <f>'(HIDE) Data Validation'!AS103</f>
        <v>0</v>
      </c>
      <c r="AD21" s="37">
        <f>'(HIDE) Data Validation'!AT103</f>
        <v>0</v>
      </c>
      <c r="AE21" s="37">
        <f>'(HIDE) Data Validation'!AU103</f>
        <v>0</v>
      </c>
      <c r="AF21" s="37">
        <f>'(HIDE) Data Validation'!AV103</f>
        <v>0</v>
      </c>
      <c r="AG21" s="37">
        <f>'(HIDE) Data Validation'!AW103</f>
        <v>0</v>
      </c>
      <c r="AH21" s="37">
        <f>'(HIDE) Data Validation'!AX103</f>
        <v>0</v>
      </c>
    </row>
    <row r="22" spans="2:34" x14ac:dyDescent="0.25">
      <c r="B22" s="194" t="s">
        <v>216</v>
      </c>
      <c r="C22" s="195">
        <f>'(HIDE) Data Validation'!AJ88</f>
        <v>236283</v>
      </c>
      <c r="D22" s="196">
        <f>'(HIDE) Data Validation'!AK88</f>
        <v>133177.44</v>
      </c>
      <c r="E22" s="196">
        <f>'(HIDE) Data Validation'!AL88</f>
        <v>133074.12</v>
      </c>
      <c r="F22" s="196">
        <f>'(HIDE) Data Validation'!AM88</f>
        <v>89535.66</v>
      </c>
      <c r="G22" s="196">
        <f>'(HIDE) Data Validation'!AN88</f>
        <v>27976.14</v>
      </c>
      <c r="H22" s="196">
        <f>'(HIDE) Data Validation'!AO88</f>
        <v>0</v>
      </c>
      <c r="I22" s="196">
        <f>'(HIDE) Data Validation'!AP88</f>
        <v>0</v>
      </c>
      <c r="J22" s="196">
        <f>'(HIDE) Data Validation'!AQ88</f>
        <v>0</v>
      </c>
      <c r="K22" s="196">
        <f>'(HIDE) Data Validation'!AR88</f>
        <v>0</v>
      </c>
      <c r="L22" s="196">
        <f>'(HIDE) Data Validation'!AS88</f>
        <v>0</v>
      </c>
      <c r="M22" s="196">
        <f>'(HIDE) Data Validation'!AT88</f>
        <v>0</v>
      </c>
      <c r="N22" s="196">
        <f>'(HIDE) Data Validation'!AU88</f>
        <v>0</v>
      </c>
      <c r="O22" s="196">
        <f>'(HIDE) Data Validation'!AV88</f>
        <v>0</v>
      </c>
      <c r="P22" s="196">
        <f>'(HIDE) Data Validation'!AW88</f>
        <v>0</v>
      </c>
      <c r="Q22" s="196">
        <f>'(HIDE) Data Validation'!AX88</f>
        <v>0</v>
      </c>
      <c r="S22" s="274" t="s">
        <v>216</v>
      </c>
      <c r="T22" s="195">
        <f>'(HIDE) Data Validation'!AJ104</f>
        <v>196425</v>
      </c>
      <c r="U22" s="196">
        <f>'(HIDE) Data Validation'!AK104</f>
        <v>110712</v>
      </c>
      <c r="V22" s="196">
        <f>'(HIDE) Data Validation'!AL104</f>
        <v>110626.2</v>
      </c>
      <c r="W22" s="196">
        <f>'(HIDE) Data Validation'!AM104</f>
        <v>74432.100000000006</v>
      </c>
      <c r="X22" s="196">
        <f>'(HIDE) Data Validation'!AN104</f>
        <v>23256.9</v>
      </c>
      <c r="Y22" s="196">
        <f>'(HIDE) Data Validation'!AO104</f>
        <v>0</v>
      </c>
      <c r="Z22" s="196">
        <f>'(HIDE) Data Validation'!AP104</f>
        <v>0</v>
      </c>
      <c r="AA22" s="196">
        <f>'(HIDE) Data Validation'!AQ104</f>
        <v>0</v>
      </c>
      <c r="AB22" s="196">
        <f>'(HIDE) Data Validation'!AR104</f>
        <v>0</v>
      </c>
      <c r="AC22" s="196">
        <f>'(HIDE) Data Validation'!AS104</f>
        <v>0</v>
      </c>
      <c r="AD22" s="196">
        <f>'(HIDE) Data Validation'!AT104</f>
        <v>0</v>
      </c>
      <c r="AE22" s="196">
        <f>'(HIDE) Data Validation'!AU104</f>
        <v>0</v>
      </c>
      <c r="AF22" s="196">
        <f>'(HIDE) Data Validation'!AV104</f>
        <v>0</v>
      </c>
      <c r="AG22" s="196">
        <f>'(HIDE) Data Validation'!AW104</f>
        <v>0</v>
      </c>
      <c r="AH22" s="196">
        <f>'(HIDE) Data Validation'!AX104</f>
        <v>0</v>
      </c>
    </row>
    <row r="23" spans="2:34" x14ac:dyDescent="0.25">
      <c r="D23" s="67">
        <f>'(HIDE) Data Validation'!AL73</f>
        <v>143029.20000000001</v>
      </c>
      <c r="E23" s="67">
        <f>'(HIDE) Data Validation'!AM73</f>
        <v>93253.8</v>
      </c>
      <c r="F23" s="67">
        <f>'(HIDE) Data Validation'!AN73</f>
        <v>0</v>
      </c>
      <c r="G23" s="67">
        <f>'(HIDE) Data Validation'!AO73</f>
        <v>0</v>
      </c>
      <c r="H23" s="67">
        <f>'(HIDE) Data Validation'!AP73</f>
        <v>0</v>
      </c>
      <c r="I23" s="67">
        <f>'(HIDE) Data Validation'!AQ73</f>
        <v>0</v>
      </c>
      <c r="J23" s="67">
        <f>'(HIDE) Data Validation'!AR73</f>
        <v>0</v>
      </c>
      <c r="K23" s="67">
        <f>'(HIDE) Data Validation'!AS73</f>
        <v>0</v>
      </c>
      <c r="L23" s="67">
        <f>'(HIDE) Data Validation'!AT73</f>
        <v>0</v>
      </c>
      <c r="M23" s="67">
        <f>'(HIDE) Data Validation'!AU73</f>
        <v>0</v>
      </c>
      <c r="N23" s="67">
        <f>'(HIDE) Data Validation'!AV73</f>
        <v>0</v>
      </c>
      <c r="O23" s="67">
        <f>'(HIDE) Data Validation'!AW73</f>
        <v>0</v>
      </c>
      <c r="S23" s="32"/>
      <c r="T23" s="32"/>
      <c r="U23" s="32"/>
      <c r="V23" s="32"/>
      <c r="W23" s="32"/>
      <c r="X23" s="32"/>
      <c r="Y23" s="32"/>
      <c r="Z23" s="32"/>
      <c r="AA23" s="32"/>
      <c r="AB23" s="32"/>
      <c r="AC23" s="32"/>
      <c r="AD23" s="32"/>
      <c r="AE23" s="32"/>
      <c r="AF23" s="32"/>
      <c r="AG23" s="32"/>
      <c r="AH23" s="32"/>
    </row>
    <row r="24" spans="2:34" ht="18.75" x14ac:dyDescent="0.3">
      <c r="C24" s="40"/>
      <c r="F24" s="189"/>
      <c r="K24" s="184"/>
      <c r="L24" s="184"/>
      <c r="M24" s="184"/>
      <c r="N24" s="184"/>
      <c r="O24" s="185" t="s">
        <v>585</v>
      </c>
      <c r="P24" s="379">
        <f>AVERAGE(C10:C21)</f>
        <v>19690.25</v>
      </c>
      <c r="Q24" s="379"/>
      <c r="S24" s="32"/>
      <c r="T24" s="275"/>
      <c r="U24" s="32"/>
      <c r="V24" s="32"/>
      <c r="W24" s="276"/>
      <c r="X24" s="32"/>
      <c r="Y24" s="32"/>
      <c r="Z24" s="32"/>
      <c r="AA24" s="32"/>
      <c r="AB24" s="277"/>
      <c r="AC24" s="277"/>
      <c r="AD24" s="277"/>
      <c r="AE24" s="277"/>
      <c r="AF24" s="278" t="str">
        <f>"Average "&amp;'(HIDE) Data Validation'!A7&amp;" Accounts Receivable"</f>
        <v>Average Burgers Accounts Receivable</v>
      </c>
      <c r="AG24" s="379">
        <f>AVERAGE(T10:T21)</f>
        <v>16368.75</v>
      </c>
      <c r="AH24" s="379"/>
    </row>
    <row r="25" spans="2:34" ht="18.75" x14ac:dyDescent="0.3">
      <c r="K25" s="184"/>
      <c r="L25" s="184"/>
      <c r="M25" s="184"/>
      <c r="N25" s="184"/>
      <c r="O25" s="185" t="s">
        <v>584</v>
      </c>
      <c r="P25" s="379">
        <f>SUM(C10:C21)</f>
        <v>236283</v>
      </c>
      <c r="Q25" s="379"/>
      <c r="S25" s="32"/>
      <c r="T25" s="32"/>
      <c r="U25" s="32"/>
      <c r="V25" s="32"/>
      <c r="W25" s="32"/>
      <c r="X25" s="32"/>
      <c r="Y25" s="32"/>
      <c r="Z25" s="32"/>
      <c r="AA25" s="32"/>
      <c r="AB25" s="32"/>
      <c r="AC25" s="32"/>
      <c r="AD25" s="32"/>
      <c r="AE25" s="32"/>
      <c r="AF25" s="32"/>
      <c r="AG25" s="32"/>
      <c r="AH25" s="32"/>
    </row>
    <row r="26" spans="2:34" x14ac:dyDescent="0.25">
      <c r="S26" s="32"/>
      <c r="T26" s="32"/>
      <c r="U26" s="32"/>
      <c r="V26" s="32"/>
      <c r="W26" s="32"/>
      <c r="X26" s="32"/>
      <c r="Y26" s="32"/>
      <c r="Z26" s="32"/>
      <c r="AA26" s="32"/>
      <c r="AB26" s="32"/>
      <c r="AC26" s="32"/>
      <c r="AD26" s="32"/>
      <c r="AE26" s="32"/>
      <c r="AF26" s="32"/>
      <c r="AG26" s="32"/>
      <c r="AH26" s="32"/>
    </row>
    <row r="27" spans="2:34" ht="18.75" x14ac:dyDescent="0.3">
      <c r="S27" s="415" t="str">
        <f>IF('Business Setup'!F3="","UNNAMED",'Business Setup'!F3)</f>
        <v>UNNAMED</v>
      </c>
      <c r="T27" s="416"/>
      <c r="U27" s="416"/>
      <c r="V27" s="416"/>
      <c r="W27" s="416"/>
      <c r="X27" s="416"/>
      <c r="Y27" s="416"/>
      <c r="Z27" s="416"/>
      <c r="AA27" s="416"/>
      <c r="AB27" s="416"/>
      <c r="AC27" s="416"/>
      <c r="AD27" s="416"/>
      <c r="AE27" s="416"/>
      <c r="AF27" s="416"/>
      <c r="AG27" s="416"/>
      <c r="AH27" s="417"/>
    </row>
    <row r="28" spans="2:34" ht="28.5" x14ac:dyDescent="0.45">
      <c r="B28" s="292" t="s">
        <v>587</v>
      </c>
      <c r="S28" s="418" t="str">
        <f>"Schedule of Accounts Receivable for "&amp;'(HIDE) Data Validation'!B42</f>
        <v>Schedule of Accounts Receivable for Hot Chips</v>
      </c>
      <c r="T28" s="419"/>
      <c r="U28" s="419"/>
      <c r="V28" s="419"/>
      <c r="W28" s="419"/>
      <c r="X28" s="419"/>
      <c r="Y28" s="419"/>
      <c r="Z28" s="419"/>
      <c r="AA28" s="419"/>
      <c r="AB28" s="419"/>
      <c r="AC28" s="419"/>
      <c r="AD28" s="419"/>
      <c r="AE28" s="419"/>
      <c r="AF28" s="419"/>
      <c r="AG28" s="419"/>
      <c r="AH28" s="420"/>
    </row>
    <row r="29" spans="2:34" ht="28.5" x14ac:dyDescent="0.45">
      <c r="B29" s="292" t="s">
        <v>588</v>
      </c>
      <c r="S29" s="421" t="s">
        <v>593</v>
      </c>
      <c r="T29" s="422"/>
      <c r="U29" s="422"/>
      <c r="V29" s="422"/>
      <c r="W29" s="422"/>
      <c r="X29" s="422"/>
      <c r="Y29" s="422"/>
      <c r="Z29" s="422"/>
      <c r="AA29" s="422"/>
      <c r="AB29" s="422"/>
      <c r="AC29" s="422"/>
      <c r="AD29" s="422"/>
      <c r="AE29" s="422"/>
      <c r="AF29" s="422"/>
      <c r="AG29" s="422"/>
      <c r="AH29" s="423"/>
    </row>
    <row r="30" spans="2:34" ht="28.5" x14ac:dyDescent="0.45">
      <c r="B30" s="292" t="s">
        <v>589</v>
      </c>
      <c r="N30" s="158"/>
      <c r="S30" s="424"/>
      <c r="T30" s="425"/>
      <c r="U30" s="428" t="s">
        <v>575</v>
      </c>
      <c r="V30" s="429"/>
      <c r="W30" s="429"/>
      <c r="X30" s="429"/>
      <c r="Y30" s="429"/>
      <c r="Z30" s="429"/>
      <c r="AA30" s="429"/>
      <c r="AB30" s="429"/>
      <c r="AC30" s="429"/>
      <c r="AD30" s="429"/>
      <c r="AE30" s="429"/>
      <c r="AF30" s="429"/>
      <c r="AG30" s="429"/>
      <c r="AH30" s="430"/>
    </row>
    <row r="31" spans="2:34" ht="28.5" x14ac:dyDescent="0.45">
      <c r="B31" s="292" t="s">
        <v>590</v>
      </c>
      <c r="S31" s="426" t="s">
        <v>224</v>
      </c>
      <c r="T31" s="427"/>
      <c r="U31" s="279" t="s">
        <v>1</v>
      </c>
      <c r="V31" s="279" t="s">
        <v>2</v>
      </c>
      <c r="W31" s="279" t="s">
        <v>3</v>
      </c>
      <c r="X31" s="279" t="s">
        <v>4</v>
      </c>
      <c r="Y31" s="279" t="s">
        <v>5</v>
      </c>
      <c r="Z31" s="279" t="s">
        <v>6</v>
      </c>
      <c r="AA31" s="279" t="s">
        <v>7</v>
      </c>
      <c r="AB31" s="279" t="s">
        <v>8</v>
      </c>
      <c r="AC31" s="279" t="s">
        <v>9</v>
      </c>
      <c r="AD31" s="279" t="s">
        <v>10</v>
      </c>
      <c r="AE31" s="279" t="s">
        <v>11</v>
      </c>
      <c r="AF31" s="279" t="s">
        <v>12</v>
      </c>
      <c r="AG31" s="279">
        <v>44197</v>
      </c>
      <c r="AH31" s="279">
        <v>44228</v>
      </c>
    </row>
    <row r="32" spans="2:34" x14ac:dyDescent="0.25">
      <c r="S32" s="186"/>
      <c r="T32" s="187"/>
      <c r="U32" s="188" t="s">
        <v>38</v>
      </c>
      <c r="V32" s="188" t="s">
        <v>38</v>
      </c>
      <c r="W32" s="188" t="s">
        <v>38</v>
      </c>
      <c r="X32" s="188" t="s">
        <v>38</v>
      </c>
      <c r="Y32" s="188" t="s">
        <v>38</v>
      </c>
      <c r="Z32" s="188" t="s">
        <v>38</v>
      </c>
      <c r="AA32" s="188" t="s">
        <v>38</v>
      </c>
      <c r="AB32" s="188" t="s">
        <v>38</v>
      </c>
      <c r="AC32" s="188" t="s">
        <v>38</v>
      </c>
      <c r="AD32" s="188" t="s">
        <v>38</v>
      </c>
      <c r="AE32" s="188" t="s">
        <v>38</v>
      </c>
      <c r="AF32" s="188" t="s">
        <v>38</v>
      </c>
      <c r="AG32" s="188" t="s">
        <v>38</v>
      </c>
      <c r="AH32" s="188" t="s">
        <v>38</v>
      </c>
    </row>
    <row r="33" spans="2:34" x14ac:dyDescent="0.25">
      <c r="S33" s="270" t="s">
        <v>697</v>
      </c>
      <c r="T33" s="254">
        <f>'(HIDE) Data Validation'!AJ106</f>
        <v>18588</v>
      </c>
      <c r="U33" s="254">
        <f>'(HIDE) Data Validation'!AK106</f>
        <v>5576.4</v>
      </c>
      <c r="V33" s="254">
        <f>'(HIDE) Data Validation'!AL106</f>
        <v>0</v>
      </c>
      <c r="W33" s="254">
        <f>'(HIDE) Data Validation'!AM106</f>
        <v>0</v>
      </c>
      <c r="X33" s="254">
        <f>'(HIDE) Data Validation'!AN106</f>
        <v>0</v>
      </c>
      <c r="Y33" s="254">
        <f>'(HIDE) Data Validation'!AO106</f>
        <v>0</v>
      </c>
      <c r="Z33" s="254">
        <f>'(HIDE) Data Validation'!AP106</f>
        <v>0</v>
      </c>
      <c r="AA33" s="254">
        <f>'(HIDE) Data Validation'!AQ106</f>
        <v>0</v>
      </c>
      <c r="AB33" s="254">
        <f>'(HIDE) Data Validation'!AR106</f>
        <v>0</v>
      </c>
      <c r="AC33" s="254">
        <f>'(HIDE) Data Validation'!AS106</f>
        <v>0</v>
      </c>
      <c r="AD33" s="254">
        <f>'(HIDE) Data Validation'!AT106</f>
        <v>0</v>
      </c>
      <c r="AE33" s="254">
        <f>'(HIDE) Data Validation'!AU106</f>
        <v>0</v>
      </c>
      <c r="AF33" s="254">
        <f>'(HIDE) Data Validation'!AV106</f>
        <v>0</v>
      </c>
      <c r="AG33" s="254">
        <f>'(HIDE) Data Validation'!AW106</f>
        <v>0</v>
      </c>
      <c r="AH33" s="254">
        <f>'(HIDE) Data Validation'!AX106</f>
        <v>0</v>
      </c>
    </row>
    <row r="34" spans="2:34" x14ac:dyDescent="0.25">
      <c r="S34" s="271" t="s">
        <v>698</v>
      </c>
      <c r="T34" s="37">
        <f>'(HIDE) Data Validation'!AJ107</f>
        <v>24127.200000000001</v>
      </c>
      <c r="U34" s="37">
        <f>'(HIDE) Data Validation'!AK107</f>
        <v>12063.6</v>
      </c>
      <c r="V34" s="37">
        <f>'(HIDE) Data Validation'!AL107</f>
        <v>7238.1600000000017</v>
      </c>
      <c r="W34" s="37">
        <f>'(HIDE) Data Validation'!AM107</f>
        <v>0</v>
      </c>
      <c r="X34" s="37">
        <f>'(HIDE) Data Validation'!AN107</f>
        <v>0</v>
      </c>
      <c r="Y34" s="37">
        <f>'(HIDE) Data Validation'!AO107</f>
        <v>0</v>
      </c>
      <c r="Z34" s="37">
        <f>'(HIDE) Data Validation'!AP107</f>
        <v>0</v>
      </c>
      <c r="AA34" s="37">
        <f>'(HIDE) Data Validation'!AQ107</f>
        <v>0</v>
      </c>
      <c r="AB34" s="37">
        <f>'(HIDE) Data Validation'!AR107</f>
        <v>0</v>
      </c>
      <c r="AC34" s="37">
        <f>'(HIDE) Data Validation'!AS107</f>
        <v>0</v>
      </c>
      <c r="AD34" s="37">
        <f>'(HIDE) Data Validation'!AT107</f>
        <v>0</v>
      </c>
      <c r="AE34" s="37">
        <f>'(HIDE) Data Validation'!AU107</f>
        <v>0</v>
      </c>
      <c r="AF34" s="37">
        <f>'(HIDE) Data Validation'!AV107</f>
        <v>0</v>
      </c>
      <c r="AG34" s="37">
        <f>'(HIDE) Data Validation'!AW107</f>
        <v>0</v>
      </c>
      <c r="AH34" s="37">
        <f>'(HIDE) Data Validation'!AX107</f>
        <v>0</v>
      </c>
    </row>
    <row r="35" spans="2:34" ht="14.85" customHeight="1" x14ac:dyDescent="0.25">
      <c r="B35" s="387" t="str">
        <f>IF('(HIDE) Data Validation'!B26=0,"","YOU HAVE NOT YET RAISED ENOUGH CAPITAL. YOU STILL NEED $"&amp;TEXT('(HIDE) Data Validation'!B26,"#,##0;;@"))</f>
        <v>YOU HAVE NOT YET RAISED ENOUGH CAPITAL. YOU STILL NEED $275,865</v>
      </c>
      <c r="C35" s="387"/>
      <c r="D35" s="387"/>
      <c r="E35" s="387"/>
      <c r="F35" s="387"/>
      <c r="G35" s="387"/>
      <c r="H35" s="387"/>
      <c r="I35" s="224"/>
      <c r="S35" s="272" t="s">
        <v>1</v>
      </c>
      <c r="T35" s="254">
        <f>'(HIDE) Data Validation'!AJ108</f>
        <v>24127.200000000001</v>
      </c>
      <c r="U35" s="254">
        <f>'(HIDE) Data Validation'!AK108</f>
        <v>4825.4399999999996</v>
      </c>
      <c r="V35" s="254">
        <f>'(HIDE) Data Validation'!AL108</f>
        <v>12063.6</v>
      </c>
      <c r="W35" s="254">
        <f>'(HIDE) Data Validation'!AM108</f>
        <v>7238.1600000000017</v>
      </c>
      <c r="X35" s="254">
        <f>'(HIDE) Data Validation'!AN108</f>
        <v>0</v>
      </c>
      <c r="Y35" s="254">
        <f>'(HIDE) Data Validation'!AO108</f>
        <v>0</v>
      </c>
      <c r="Z35" s="254">
        <f>'(HIDE) Data Validation'!AP108</f>
        <v>0</v>
      </c>
      <c r="AA35" s="254">
        <f>'(HIDE) Data Validation'!AQ108</f>
        <v>0</v>
      </c>
      <c r="AB35" s="254">
        <f>'(HIDE) Data Validation'!AR108</f>
        <v>0</v>
      </c>
      <c r="AC35" s="254">
        <f>'(HIDE) Data Validation'!AS108</f>
        <v>0</v>
      </c>
      <c r="AD35" s="254">
        <f>'(HIDE) Data Validation'!AT108</f>
        <v>0</v>
      </c>
      <c r="AE35" s="254">
        <f>'(HIDE) Data Validation'!AU108</f>
        <v>0</v>
      </c>
      <c r="AF35" s="254">
        <f>'(HIDE) Data Validation'!AV108</f>
        <v>0</v>
      </c>
      <c r="AG35" s="254">
        <f>'(HIDE) Data Validation'!AW108</f>
        <v>0</v>
      </c>
      <c r="AH35" s="254">
        <f>'(HIDE) Data Validation'!AX108</f>
        <v>0</v>
      </c>
    </row>
    <row r="36" spans="2:34" ht="14.85" customHeight="1" x14ac:dyDescent="0.25">
      <c r="B36" s="387"/>
      <c r="C36" s="387"/>
      <c r="D36" s="387"/>
      <c r="E36" s="387"/>
      <c r="F36" s="387"/>
      <c r="G36" s="387"/>
      <c r="H36" s="387"/>
      <c r="I36" s="224"/>
      <c r="S36" s="273" t="s">
        <v>2</v>
      </c>
      <c r="T36" s="37">
        <f>'(HIDE) Data Validation'!AJ109</f>
        <v>15730.8</v>
      </c>
      <c r="U36" s="37">
        <f>'(HIDE) Data Validation'!AK109</f>
        <v>0</v>
      </c>
      <c r="V36" s="37">
        <f>'(HIDE) Data Validation'!AL109</f>
        <v>3146.16</v>
      </c>
      <c r="W36" s="37">
        <f>'(HIDE) Data Validation'!AM109</f>
        <v>7865.4</v>
      </c>
      <c r="X36" s="37">
        <f>'(HIDE) Data Validation'!AN109</f>
        <v>4719.24</v>
      </c>
      <c r="Y36" s="37">
        <f>'(HIDE) Data Validation'!AO109</f>
        <v>0</v>
      </c>
      <c r="Z36" s="37">
        <f>'(HIDE) Data Validation'!AP109</f>
        <v>0</v>
      </c>
      <c r="AA36" s="37">
        <f>'(HIDE) Data Validation'!AQ109</f>
        <v>0</v>
      </c>
      <c r="AB36" s="37">
        <f>'(HIDE) Data Validation'!AR109</f>
        <v>0</v>
      </c>
      <c r="AC36" s="37">
        <f>'(HIDE) Data Validation'!AS109</f>
        <v>0</v>
      </c>
      <c r="AD36" s="37">
        <f>'(HIDE) Data Validation'!AT109</f>
        <v>0</v>
      </c>
      <c r="AE36" s="37">
        <f>'(HIDE) Data Validation'!AU109</f>
        <v>0</v>
      </c>
      <c r="AF36" s="37">
        <f>'(HIDE) Data Validation'!AV109</f>
        <v>0</v>
      </c>
      <c r="AG36" s="37">
        <f>'(HIDE) Data Validation'!AW109</f>
        <v>0</v>
      </c>
      <c r="AH36" s="37">
        <f>'(HIDE) Data Validation'!AX109</f>
        <v>0</v>
      </c>
    </row>
    <row r="37" spans="2:34" ht="14.85" customHeight="1" x14ac:dyDescent="0.25">
      <c r="B37" s="387"/>
      <c r="C37" s="387"/>
      <c r="D37" s="387"/>
      <c r="E37" s="387"/>
      <c r="F37" s="387"/>
      <c r="G37" s="387"/>
      <c r="H37" s="387"/>
      <c r="I37" s="224"/>
      <c r="S37" s="272" t="s">
        <v>3</v>
      </c>
      <c r="T37" s="254">
        <f>'(HIDE) Data Validation'!AJ110</f>
        <v>0</v>
      </c>
      <c r="U37" s="254">
        <f>'(HIDE) Data Validation'!AK110</f>
        <v>0</v>
      </c>
      <c r="V37" s="254">
        <f>'(HIDE) Data Validation'!AL110</f>
        <v>0</v>
      </c>
      <c r="W37" s="254">
        <f>'(HIDE) Data Validation'!AM110</f>
        <v>0</v>
      </c>
      <c r="X37" s="254">
        <f>'(HIDE) Data Validation'!AN110</f>
        <v>0</v>
      </c>
      <c r="Y37" s="254">
        <f>'(HIDE) Data Validation'!AO110</f>
        <v>0</v>
      </c>
      <c r="Z37" s="254">
        <f>'(HIDE) Data Validation'!AP110</f>
        <v>0</v>
      </c>
      <c r="AA37" s="254">
        <f>'(HIDE) Data Validation'!AQ110</f>
        <v>0</v>
      </c>
      <c r="AB37" s="254">
        <f>'(HIDE) Data Validation'!AR110</f>
        <v>0</v>
      </c>
      <c r="AC37" s="254">
        <f>'(HIDE) Data Validation'!AS110</f>
        <v>0</v>
      </c>
      <c r="AD37" s="254">
        <f>'(HIDE) Data Validation'!AT110</f>
        <v>0</v>
      </c>
      <c r="AE37" s="254">
        <f>'(HIDE) Data Validation'!AU110</f>
        <v>0</v>
      </c>
      <c r="AF37" s="254">
        <f>'(HIDE) Data Validation'!AV110</f>
        <v>0</v>
      </c>
      <c r="AG37" s="254">
        <f>'(HIDE) Data Validation'!AW110</f>
        <v>0</v>
      </c>
      <c r="AH37" s="254">
        <f>'(HIDE) Data Validation'!AX110</f>
        <v>0</v>
      </c>
    </row>
    <row r="38" spans="2:34" ht="14.85" customHeight="1" x14ac:dyDescent="0.25">
      <c r="B38" s="387"/>
      <c r="C38" s="387"/>
      <c r="D38" s="387"/>
      <c r="E38" s="387"/>
      <c r="F38" s="387"/>
      <c r="G38" s="387"/>
      <c r="H38" s="387"/>
      <c r="I38" s="224"/>
      <c r="S38" s="273" t="s">
        <v>4</v>
      </c>
      <c r="T38" s="37">
        <f>'(HIDE) Data Validation'!AJ111</f>
        <v>0</v>
      </c>
      <c r="U38" s="37">
        <f>'(HIDE) Data Validation'!AK111</f>
        <v>0</v>
      </c>
      <c r="V38" s="37">
        <f>'(HIDE) Data Validation'!AL111</f>
        <v>0</v>
      </c>
      <c r="W38" s="37">
        <f>'(HIDE) Data Validation'!AM111</f>
        <v>0</v>
      </c>
      <c r="X38" s="37">
        <f>'(HIDE) Data Validation'!AN111</f>
        <v>0</v>
      </c>
      <c r="Y38" s="37">
        <f>'(HIDE) Data Validation'!AO111</f>
        <v>0</v>
      </c>
      <c r="Z38" s="37">
        <f>'(HIDE) Data Validation'!AP111</f>
        <v>0</v>
      </c>
      <c r="AA38" s="37">
        <f>'(HIDE) Data Validation'!AQ111</f>
        <v>0</v>
      </c>
      <c r="AB38" s="37">
        <f>'(HIDE) Data Validation'!AR111</f>
        <v>0</v>
      </c>
      <c r="AC38" s="37">
        <f>'(HIDE) Data Validation'!AS111</f>
        <v>0</v>
      </c>
      <c r="AD38" s="37">
        <f>'(HIDE) Data Validation'!AT111</f>
        <v>0</v>
      </c>
      <c r="AE38" s="37">
        <f>'(HIDE) Data Validation'!AU111</f>
        <v>0</v>
      </c>
      <c r="AF38" s="37">
        <f>'(HIDE) Data Validation'!AV111</f>
        <v>0</v>
      </c>
      <c r="AG38" s="37">
        <f>'(HIDE) Data Validation'!AW111</f>
        <v>0</v>
      </c>
      <c r="AH38" s="37">
        <f>'(HIDE) Data Validation'!AX111</f>
        <v>0</v>
      </c>
    </row>
    <row r="39" spans="2:34" ht="14.85" customHeight="1" x14ac:dyDescent="0.25">
      <c r="B39" s="387"/>
      <c r="C39" s="387"/>
      <c r="D39" s="387"/>
      <c r="E39" s="387"/>
      <c r="F39" s="387"/>
      <c r="G39" s="387"/>
      <c r="H39" s="387"/>
      <c r="I39" s="224"/>
      <c r="S39" s="272" t="s">
        <v>5</v>
      </c>
      <c r="T39" s="254">
        <f>'(HIDE) Data Validation'!AJ112</f>
        <v>0</v>
      </c>
      <c r="U39" s="254">
        <f>'(HIDE) Data Validation'!AK112</f>
        <v>0</v>
      </c>
      <c r="V39" s="254">
        <f>'(HIDE) Data Validation'!AL112</f>
        <v>0</v>
      </c>
      <c r="W39" s="254">
        <f>'(HIDE) Data Validation'!AM112</f>
        <v>0</v>
      </c>
      <c r="X39" s="254">
        <f>'(HIDE) Data Validation'!AN112</f>
        <v>0</v>
      </c>
      <c r="Y39" s="254">
        <f>'(HIDE) Data Validation'!AO112</f>
        <v>0</v>
      </c>
      <c r="Z39" s="254">
        <f>'(HIDE) Data Validation'!AP112</f>
        <v>0</v>
      </c>
      <c r="AA39" s="254">
        <f>'(HIDE) Data Validation'!AQ112</f>
        <v>0</v>
      </c>
      <c r="AB39" s="254">
        <f>'(HIDE) Data Validation'!AR112</f>
        <v>0</v>
      </c>
      <c r="AC39" s="254">
        <f>'(HIDE) Data Validation'!AS112</f>
        <v>0</v>
      </c>
      <c r="AD39" s="254">
        <f>'(HIDE) Data Validation'!AT112</f>
        <v>0</v>
      </c>
      <c r="AE39" s="254">
        <f>'(HIDE) Data Validation'!AU112</f>
        <v>0</v>
      </c>
      <c r="AF39" s="254">
        <f>'(HIDE) Data Validation'!AV112</f>
        <v>0</v>
      </c>
      <c r="AG39" s="254">
        <f>'(HIDE) Data Validation'!AW112</f>
        <v>0</v>
      </c>
      <c r="AH39" s="254">
        <f>'(HIDE) Data Validation'!AX112</f>
        <v>0</v>
      </c>
    </row>
    <row r="40" spans="2:34" ht="14.85" customHeight="1" x14ac:dyDescent="0.25">
      <c r="B40" s="387"/>
      <c r="C40" s="387"/>
      <c r="D40" s="387"/>
      <c r="E40" s="387"/>
      <c r="F40" s="387"/>
      <c r="G40" s="387"/>
      <c r="H40" s="387"/>
      <c r="I40" s="224"/>
      <c r="S40" s="273" t="s">
        <v>6</v>
      </c>
      <c r="T40" s="37">
        <f>'(HIDE) Data Validation'!AJ113</f>
        <v>0</v>
      </c>
      <c r="U40" s="37">
        <f>'(HIDE) Data Validation'!AK113</f>
        <v>0</v>
      </c>
      <c r="V40" s="37">
        <f>'(HIDE) Data Validation'!AL113</f>
        <v>0</v>
      </c>
      <c r="W40" s="37">
        <f>'(HIDE) Data Validation'!AM113</f>
        <v>0</v>
      </c>
      <c r="X40" s="37">
        <f>'(HIDE) Data Validation'!AN113</f>
        <v>0</v>
      </c>
      <c r="Y40" s="37">
        <f>'(HIDE) Data Validation'!AO113</f>
        <v>0</v>
      </c>
      <c r="Z40" s="37">
        <f>'(HIDE) Data Validation'!AP113</f>
        <v>0</v>
      </c>
      <c r="AA40" s="37">
        <f>'(HIDE) Data Validation'!AQ113</f>
        <v>0</v>
      </c>
      <c r="AB40" s="37">
        <f>'(HIDE) Data Validation'!AR113</f>
        <v>0</v>
      </c>
      <c r="AC40" s="37">
        <f>'(HIDE) Data Validation'!AS113</f>
        <v>0</v>
      </c>
      <c r="AD40" s="37">
        <f>'(HIDE) Data Validation'!AT113</f>
        <v>0</v>
      </c>
      <c r="AE40" s="37">
        <f>'(HIDE) Data Validation'!AU113</f>
        <v>0</v>
      </c>
      <c r="AF40" s="37">
        <f>'(HIDE) Data Validation'!AV113</f>
        <v>0</v>
      </c>
      <c r="AG40" s="37">
        <f>'(HIDE) Data Validation'!AW113</f>
        <v>0</v>
      </c>
      <c r="AH40" s="37">
        <f>'(HIDE) Data Validation'!AX113</f>
        <v>0</v>
      </c>
    </row>
    <row r="41" spans="2:34" x14ac:dyDescent="0.25">
      <c r="B41" s="387"/>
      <c r="C41" s="387"/>
      <c r="D41" s="387"/>
      <c r="E41" s="387"/>
      <c r="F41" s="387"/>
      <c r="G41" s="387"/>
      <c r="H41" s="387"/>
      <c r="S41" s="272" t="s">
        <v>7</v>
      </c>
      <c r="T41" s="254">
        <f>'(HIDE) Data Validation'!AJ114</f>
        <v>0</v>
      </c>
      <c r="U41" s="254">
        <f>'(HIDE) Data Validation'!AK114</f>
        <v>0</v>
      </c>
      <c r="V41" s="254">
        <f>'(HIDE) Data Validation'!AL114</f>
        <v>0</v>
      </c>
      <c r="W41" s="254">
        <f>'(HIDE) Data Validation'!AM114</f>
        <v>0</v>
      </c>
      <c r="X41" s="254">
        <f>'(HIDE) Data Validation'!AN114</f>
        <v>0</v>
      </c>
      <c r="Y41" s="254">
        <f>'(HIDE) Data Validation'!AO114</f>
        <v>0</v>
      </c>
      <c r="Z41" s="254">
        <f>'(HIDE) Data Validation'!AP114</f>
        <v>0</v>
      </c>
      <c r="AA41" s="254">
        <f>'(HIDE) Data Validation'!AQ114</f>
        <v>0</v>
      </c>
      <c r="AB41" s="254">
        <f>'(HIDE) Data Validation'!AR114</f>
        <v>0</v>
      </c>
      <c r="AC41" s="254">
        <f>'(HIDE) Data Validation'!AS114</f>
        <v>0</v>
      </c>
      <c r="AD41" s="254">
        <f>'(HIDE) Data Validation'!AT114</f>
        <v>0</v>
      </c>
      <c r="AE41" s="254">
        <f>'(HIDE) Data Validation'!AU114</f>
        <v>0</v>
      </c>
      <c r="AF41" s="254">
        <f>'(HIDE) Data Validation'!AV114</f>
        <v>0</v>
      </c>
      <c r="AG41" s="254">
        <f>'(HIDE) Data Validation'!AW114</f>
        <v>0</v>
      </c>
      <c r="AH41" s="254">
        <f>'(HIDE) Data Validation'!AX114</f>
        <v>0</v>
      </c>
    </row>
    <row r="42" spans="2:34" x14ac:dyDescent="0.25">
      <c r="B42" s="387"/>
      <c r="C42" s="387"/>
      <c r="D42" s="387"/>
      <c r="E42" s="387"/>
      <c r="F42" s="387"/>
      <c r="G42" s="387"/>
      <c r="H42" s="387"/>
      <c r="S42" s="273" t="s">
        <v>8</v>
      </c>
      <c r="T42" s="37">
        <f>'(HIDE) Data Validation'!AJ115</f>
        <v>0</v>
      </c>
      <c r="U42" s="37">
        <f>'(HIDE) Data Validation'!AK115</f>
        <v>0</v>
      </c>
      <c r="V42" s="37">
        <f>'(HIDE) Data Validation'!AL115</f>
        <v>0</v>
      </c>
      <c r="W42" s="37">
        <f>'(HIDE) Data Validation'!AM115</f>
        <v>0</v>
      </c>
      <c r="X42" s="37">
        <f>'(HIDE) Data Validation'!AN115</f>
        <v>0</v>
      </c>
      <c r="Y42" s="37">
        <f>'(HIDE) Data Validation'!AO115</f>
        <v>0</v>
      </c>
      <c r="Z42" s="37">
        <f>'(HIDE) Data Validation'!AP115</f>
        <v>0</v>
      </c>
      <c r="AA42" s="37">
        <f>'(HIDE) Data Validation'!AQ115</f>
        <v>0</v>
      </c>
      <c r="AB42" s="37">
        <f>'(HIDE) Data Validation'!AR115</f>
        <v>0</v>
      </c>
      <c r="AC42" s="37">
        <f>'(HIDE) Data Validation'!AS115</f>
        <v>0</v>
      </c>
      <c r="AD42" s="37">
        <f>'(HIDE) Data Validation'!AT115</f>
        <v>0</v>
      </c>
      <c r="AE42" s="37">
        <f>'(HIDE) Data Validation'!AU115</f>
        <v>0</v>
      </c>
      <c r="AF42" s="37">
        <f>'(HIDE) Data Validation'!AV115</f>
        <v>0</v>
      </c>
      <c r="AG42" s="37">
        <f>'(HIDE) Data Validation'!AW115</f>
        <v>0</v>
      </c>
      <c r="AH42" s="37">
        <f>'(HIDE) Data Validation'!AX115</f>
        <v>0</v>
      </c>
    </row>
    <row r="43" spans="2:34" x14ac:dyDescent="0.25">
      <c r="S43" s="272" t="s">
        <v>9</v>
      </c>
      <c r="T43" s="254">
        <f>'(HIDE) Data Validation'!AJ116</f>
        <v>0</v>
      </c>
      <c r="U43" s="254">
        <f>'(HIDE) Data Validation'!AK116</f>
        <v>0</v>
      </c>
      <c r="V43" s="254">
        <f>'(HIDE) Data Validation'!AL116</f>
        <v>0</v>
      </c>
      <c r="W43" s="254">
        <f>'(HIDE) Data Validation'!AM116</f>
        <v>0</v>
      </c>
      <c r="X43" s="254">
        <f>'(HIDE) Data Validation'!AN116</f>
        <v>0</v>
      </c>
      <c r="Y43" s="254">
        <f>'(HIDE) Data Validation'!AO116</f>
        <v>0</v>
      </c>
      <c r="Z43" s="254">
        <f>'(HIDE) Data Validation'!AP116</f>
        <v>0</v>
      </c>
      <c r="AA43" s="254">
        <f>'(HIDE) Data Validation'!AQ116</f>
        <v>0</v>
      </c>
      <c r="AB43" s="254">
        <f>'(HIDE) Data Validation'!AR116</f>
        <v>0</v>
      </c>
      <c r="AC43" s="254">
        <f>'(HIDE) Data Validation'!AS116</f>
        <v>0</v>
      </c>
      <c r="AD43" s="254">
        <f>'(HIDE) Data Validation'!AT116</f>
        <v>0</v>
      </c>
      <c r="AE43" s="254">
        <f>'(HIDE) Data Validation'!AU116</f>
        <v>0</v>
      </c>
      <c r="AF43" s="254">
        <f>'(HIDE) Data Validation'!AV116</f>
        <v>0</v>
      </c>
      <c r="AG43" s="254">
        <f>'(HIDE) Data Validation'!AW116</f>
        <v>0</v>
      </c>
      <c r="AH43" s="254">
        <f>'(HIDE) Data Validation'!AX116</f>
        <v>0</v>
      </c>
    </row>
    <row r="44" spans="2:34" x14ac:dyDescent="0.25">
      <c r="S44" s="273" t="s">
        <v>10</v>
      </c>
      <c r="T44" s="37">
        <f>'(HIDE) Data Validation'!AJ117</f>
        <v>0</v>
      </c>
      <c r="U44" s="37">
        <f>'(HIDE) Data Validation'!AK117</f>
        <v>0</v>
      </c>
      <c r="V44" s="37">
        <f>'(HIDE) Data Validation'!AL117</f>
        <v>0</v>
      </c>
      <c r="W44" s="37">
        <f>'(HIDE) Data Validation'!AM117</f>
        <v>0</v>
      </c>
      <c r="X44" s="37">
        <f>'(HIDE) Data Validation'!AN117</f>
        <v>0</v>
      </c>
      <c r="Y44" s="37">
        <f>'(HIDE) Data Validation'!AO117</f>
        <v>0</v>
      </c>
      <c r="Z44" s="37">
        <f>'(HIDE) Data Validation'!AP117</f>
        <v>0</v>
      </c>
      <c r="AA44" s="37">
        <f>'(HIDE) Data Validation'!AQ117</f>
        <v>0</v>
      </c>
      <c r="AB44" s="37">
        <f>'(HIDE) Data Validation'!AR117</f>
        <v>0</v>
      </c>
      <c r="AC44" s="37">
        <f>'(HIDE) Data Validation'!AS117</f>
        <v>0</v>
      </c>
      <c r="AD44" s="37">
        <f>'(HIDE) Data Validation'!AT117</f>
        <v>0</v>
      </c>
      <c r="AE44" s="37">
        <f>'(HIDE) Data Validation'!AU117</f>
        <v>0</v>
      </c>
      <c r="AF44" s="37">
        <f>'(HIDE) Data Validation'!AV117</f>
        <v>0</v>
      </c>
      <c r="AG44" s="37">
        <f>'(HIDE) Data Validation'!AW117</f>
        <v>0</v>
      </c>
      <c r="AH44" s="37">
        <f>'(HIDE) Data Validation'!AX117</f>
        <v>0</v>
      </c>
    </row>
    <row r="45" spans="2:34" x14ac:dyDescent="0.25">
      <c r="S45" s="272" t="s">
        <v>11</v>
      </c>
      <c r="T45" s="254">
        <f>'(HIDE) Data Validation'!AJ118</f>
        <v>0</v>
      </c>
      <c r="U45" s="254">
        <f>'(HIDE) Data Validation'!AK118</f>
        <v>0</v>
      </c>
      <c r="V45" s="254">
        <f>'(HIDE) Data Validation'!AL118</f>
        <v>0</v>
      </c>
      <c r="W45" s="254">
        <f>'(HIDE) Data Validation'!AM118</f>
        <v>0</v>
      </c>
      <c r="X45" s="254">
        <f>'(HIDE) Data Validation'!AN118</f>
        <v>0</v>
      </c>
      <c r="Y45" s="254">
        <f>'(HIDE) Data Validation'!AO118</f>
        <v>0</v>
      </c>
      <c r="Z45" s="254">
        <f>'(HIDE) Data Validation'!AP118</f>
        <v>0</v>
      </c>
      <c r="AA45" s="254">
        <f>'(HIDE) Data Validation'!AQ118</f>
        <v>0</v>
      </c>
      <c r="AB45" s="254">
        <f>'(HIDE) Data Validation'!AR118</f>
        <v>0</v>
      </c>
      <c r="AC45" s="254">
        <f>'(HIDE) Data Validation'!AS118</f>
        <v>0</v>
      </c>
      <c r="AD45" s="254">
        <f>'(HIDE) Data Validation'!AT118</f>
        <v>0</v>
      </c>
      <c r="AE45" s="254">
        <f>'(HIDE) Data Validation'!AU118</f>
        <v>0</v>
      </c>
      <c r="AF45" s="254">
        <f>'(HIDE) Data Validation'!AV118</f>
        <v>0</v>
      </c>
      <c r="AG45" s="254">
        <f>'(HIDE) Data Validation'!AW118</f>
        <v>0</v>
      </c>
      <c r="AH45" s="254">
        <f>'(HIDE) Data Validation'!AX118</f>
        <v>0</v>
      </c>
    </row>
    <row r="46" spans="2:34" x14ac:dyDescent="0.25">
      <c r="S46" s="273" t="s">
        <v>12</v>
      </c>
      <c r="T46" s="37">
        <f>'(HIDE) Data Validation'!AJ119</f>
        <v>0</v>
      </c>
      <c r="U46" s="37">
        <f>'(HIDE) Data Validation'!AK119</f>
        <v>0</v>
      </c>
      <c r="V46" s="37">
        <f>'(HIDE) Data Validation'!AL119</f>
        <v>0</v>
      </c>
      <c r="W46" s="37">
        <f>'(HIDE) Data Validation'!AM119</f>
        <v>0</v>
      </c>
      <c r="X46" s="37">
        <f>'(HIDE) Data Validation'!AN119</f>
        <v>0</v>
      </c>
      <c r="Y46" s="37">
        <f>'(HIDE) Data Validation'!AO119</f>
        <v>0</v>
      </c>
      <c r="Z46" s="37">
        <f>'(HIDE) Data Validation'!AP119</f>
        <v>0</v>
      </c>
      <c r="AA46" s="37">
        <f>'(HIDE) Data Validation'!AQ119</f>
        <v>0</v>
      </c>
      <c r="AB46" s="37">
        <f>'(HIDE) Data Validation'!AR119</f>
        <v>0</v>
      </c>
      <c r="AC46" s="37">
        <f>'(HIDE) Data Validation'!AS119</f>
        <v>0</v>
      </c>
      <c r="AD46" s="37">
        <f>'(HIDE) Data Validation'!AT119</f>
        <v>0</v>
      </c>
      <c r="AE46" s="37">
        <f>'(HIDE) Data Validation'!AU119</f>
        <v>0</v>
      </c>
      <c r="AF46" s="37">
        <f>'(HIDE) Data Validation'!AV119</f>
        <v>0</v>
      </c>
      <c r="AG46" s="37">
        <f>'(HIDE) Data Validation'!AW119</f>
        <v>0</v>
      </c>
      <c r="AH46" s="37">
        <f>'(HIDE) Data Validation'!AX119</f>
        <v>0</v>
      </c>
    </row>
    <row r="47" spans="2:34" x14ac:dyDescent="0.25">
      <c r="S47" s="280" t="s">
        <v>216</v>
      </c>
      <c r="T47" s="255">
        <f>SUM(T35:T46)</f>
        <v>39858</v>
      </c>
      <c r="U47" s="255">
        <f>SUM(U33:U46)</f>
        <v>22465.439999999999</v>
      </c>
      <c r="V47" s="255">
        <f>SUM(V33:V46)</f>
        <v>22447.920000000002</v>
      </c>
      <c r="W47" s="255">
        <f t="shared" ref="W47:Y47" si="0">SUM(W33:W46)</f>
        <v>15103.560000000001</v>
      </c>
      <c r="X47" s="255">
        <f t="shared" si="0"/>
        <v>4719.24</v>
      </c>
      <c r="Y47" s="255">
        <f t="shared" si="0"/>
        <v>0</v>
      </c>
      <c r="Z47" s="255">
        <f t="shared" ref="Z47" si="1">SUM(Z33:Z46)</f>
        <v>0</v>
      </c>
      <c r="AA47" s="255">
        <f t="shared" ref="AA47:AB47" si="2">SUM(AA33:AA46)</f>
        <v>0</v>
      </c>
      <c r="AB47" s="255">
        <f t="shared" si="2"/>
        <v>0</v>
      </c>
      <c r="AC47" s="255">
        <f t="shared" ref="AC47" si="3">SUM(AC33:AC46)</f>
        <v>0</v>
      </c>
      <c r="AD47" s="255">
        <f t="shared" ref="AD47:AE47" si="4">SUM(AD33:AD46)</f>
        <v>0</v>
      </c>
      <c r="AE47" s="255">
        <f t="shared" si="4"/>
        <v>0</v>
      </c>
      <c r="AF47" s="255">
        <f t="shared" ref="AF47" si="5">SUM(AF33:AF46)</f>
        <v>0</v>
      </c>
      <c r="AG47" s="255">
        <f t="shared" ref="AG47:AH47" si="6">SUM(AG33:AG46)</f>
        <v>0</v>
      </c>
      <c r="AH47" s="255">
        <f t="shared" si="6"/>
        <v>0</v>
      </c>
    </row>
    <row r="49" spans="20:34" ht="18.75" x14ac:dyDescent="0.3">
      <c r="T49" s="40"/>
      <c r="U49" s="32"/>
      <c r="W49" s="189"/>
      <c r="AB49" s="184"/>
      <c r="AC49" s="184"/>
      <c r="AD49" s="184"/>
      <c r="AE49" s="184"/>
      <c r="AF49" s="185" t="str">
        <f>"Average "&amp;'(HIDE) Data Validation'!B42&amp;" Accounts Receivable"</f>
        <v>Average Hot Chips Accounts Receivable</v>
      </c>
      <c r="AG49" s="379">
        <f>AVERAGE(T35:T46)</f>
        <v>3321.5</v>
      </c>
      <c r="AH49" s="379"/>
    </row>
  </sheetData>
  <sheetProtection algorithmName="SHA-512" hashValue="FKXgwH9OJ4jcx36ioJ1umwEQwcay1pi5kD6MoV8cXbBHM1hf9ZxDf/Q4Qzpjz81e/gOHytLJx/NQ77V9vJ8fsQ==" saltValue="rUAFQ4oM3l2f2mvaocyO9w==" spinCount="100000" sheet="1" objects="1" scenarios="1" formatColumns="0" formatRows="0" selectLockedCells="1"/>
  <mergeCells count="20">
    <mergeCell ref="B2:Q2"/>
    <mergeCell ref="S2:AH2"/>
    <mergeCell ref="B3:Q3"/>
    <mergeCell ref="S3:AH3"/>
    <mergeCell ref="B4:Q4"/>
    <mergeCell ref="S4:AH4"/>
    <mergeCell ref="B5:C6"/>
    <mergeCell ref="D5:Q5"/>
    <mergeCell ref="S5:T6"/>
    <mergeCell ref="U5:AH5"/>
    <mergeCell ref="P24:Q24"/>
    <mergeCell ref="AG24:AH24"/>
    <mergeCell ref="B35:H42"/>
    <mergeCell ref="AG49:AH49"/>
    <mergeCell ref="P25:Q25"/>
    <mergeCell ref="S27:AH27"/>
    <mergeCell ref="S28:AH28"/>
    <mergeCell ref="S29:AH29"/>
    <mergeCell ref="S30:T31"/>
    <mergeCell ref="U30:AH30"/>
  </mergeCells>
  <pageMargins left="0.7" right="0.7" top="0.75" bottom="0.75" header="0.3" footer="0.3"/>
  <pageSetup paperSize="9"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1:R42"/>
  <sheetViews>
    <sheetView zoomScale="55" zoomScaleNormal="55" workbookViewId="0">
      <selection activeCell="R7" sqref="R7"/>
    </sheetView>
  </sheetViews>
  <sheetFormatPr defaultColWidth="8.85546875" defaultRowHeight="15" x14ac:dyDescent="0.25"/>
  <cols>
    <col min="1" max="1" width="2.7109375" style="1" customWidth="1"/>
    <col min="2" max="2" width="48" style="1" customWidth="1"/>
    <col min="3" max="14" width="24.140625" style="1" customWidth="1"/>
    <col min="15" max="15" width="24.140625" style="7" customWidth="1"/>
    <col min="16" max="17" width="13.5703125" style="1" bestFit="1" customWidth="1"/>
    <col min="18" max="16384" width="8.85546875" style="1"/>
  </cols>
  <sheetData>
    <row r="1" spans="2:18" ht="18.75" x14ac:dyDescent="0.3">
      <c r="B1" s="368" t="str">
        <f>IF('Business Setup'!F3="","UNNAMED",'Business Setup'!F3)</f>
        <v>UNNAMED</v>
      </c>
      <c r="C1" s="368"/>
      <c r="D1" s="368"/>
      <c r="E1" s="368"/>
      <c r="F1" s="368"/>
      <c r="G1" s="368"/>
      <c r="H1" s="368"/>
      <c r="I1" s="368"/>
      <c r="J1" s="368"/>
      <c r="K1" s="368"/>
      <c r="L1" s="368"/>
      <c r="M1" s="368"/>
      <c r="N1" s="368"/>
      <c r="O1" s="368"/>
    </row>
    <row r="2" spans="2:18" ht="18.75" x14ac:dyDescent="0.3">
      <c r="B2" s="368" t="s">
        <v>0</v>
      </c>
      <c r="C2" s="368"/>
      <c r="D2" s="368"/>
      <c r="E2" s="368"/>
      <c r="F2" s="368"/>
      <c r="G2" s="368"/>
      <c r="H2" s="368"/>
      <c r="I2" s="368"/>
      <c r="J2" s="368"/>
      <c r="K2" s="368"/>
      <c r="L2" s="368"/>
      <c r="M2" s="368"/>
      <c r="N2" s="368"/>
      <c r="O2" s="368"/>
    </row>
    <row r="3" spans="2:18" ht="18.75" x14ac:dyDescent="0.3">
      <c r="B3" s="368" t="s">
        <v>522</v>
      </c>
      <c r="C3" s="368"/>
      <c r="D3" s="368"/>
      <c r="E3" s="368"/>
      <c r="F3" s="368"/>
      <c r="G3" s="368"/>
      <c r="H3" s="368"/>
      <c r="I3" s="368"/>
      <c r="J3" s="368"/>
      <c r="K3" s="368"/>
      <c r="L3" s="368"/>
      <c r="M3" s="368"/>
      <c r="N3" s="368"/>
      <c r="O3" s="368"/>
    </row>
    <row r="4" spans="2:18" x14ac:dyDescent="0.25">
      <c r="O4" s="1"/>
    </row>
    <row r="5" spans="2:18" x14ac:dyDescent="0.25">
      <c r="C5" s="19" t="s">
        <v>1</v>
      </c>
      <c r="D5" s="19" t="s">
        <v>2</v>
      </c>
      <c r="E5" s="19" t="s">
        <v>3</v>
      </c>
      <c r="F5" s="19" t="s">
        <v>4</v>
      </c>
      <c r="G5" s="19" t="s">
        <v>5</v>
      </c>
      <c r="H5" s="19" t="s">
        <v>6</v>
      </c>
      <c r="I5" s="19" t="s">
        <v>7</v>
      </c>
      <c r="J5" s="19" t="s">
        <v>8</v>
      </c>
      <c r="K5" s="19" t="s">
        <v>9</v>
      </c>
      <c r="L5" s="19" t="s">
        <v>10</v>
      </c>
      <c r="M5" s="19" t="s">
        <v>11</v>
      </c>
      <c r="N5" s="19" t="s">
        <v>12</v>
      </c>
      <c r="O5" s="19" t="s">
        <v>27</v>
      </c>
    </row>
    <row r="6" spans="2:18" ht="15.75" x14ac:dyDescent="0.25">
      <c r="B6" s="109" t="s">
        <v>13</v>
      </c>
      <c r="C6" s="128" t="s">
        <v>38</v>
      </c>
      <c r="D6" s="128" t="s">
        <v>38</v>
      </c>
      <c r="E6" s="128" t="s">
        <v>38</v>
      </c>
      <c r="F6" s="128" t="s">
        <v>38</v>
      </c>
      <c r="G6" s="128" t="s">
        <v>38</v>
      </c>
      <c r="H6" s="128" t="s">
        <v>38</v>
      </c>
      <c r="I6" s="128" t="s">
        <v>38</v>
      </c>
      <c r="J6" s="128" t="s">
        <v>38</v>
      </c>
      <c r="K6" s="128" t="s">
        <v>38</v>
      </c>
      <c r="L6" s="128" t="s">
        <v>38</v>
      </c>
      <c r="M6" s="128" t="s">
        <v>38</v>
      </c>
      <c r="N6" s="128" t="s">
        <v>38</v>
      </c>
      <c r="O6" s="128" t="s">
        <v>38</v>
      </c>
    </row>
    <row r="7" spans="2:18" x14ac:dyDescent="0.25">
      <c r="B7" s="20" t="str">
        <f>"Cash Sales ("&amp;'(HIDE) Data Validation'!A7&amp;")"</f>
        <v>Cash Sales (Burgers)</v>
      </c>
      <c r="C7" s="95">
        <f>'(HIDE) Data Validation'!AL42</f>
        <v>180887</v>
      </c>
      <c r="D7" s="95">
        <f>'(HIDE) Data Validation'!AM42</f>
        <v>193340</v>
      </c>
      <c r="E7" s="95">
        <f>'(HIDE) Data Validation'!AN42</f>
        <v>0</v>
      </c>
      <c r="F7" s="95">
        <f>'(HIDE) Data Validation'!AO42</f>
        <v>0</v>
      </c>
      <c r="G7" s="95">
        <f>'(HIDE) Data Validation'!AP42</f>
        <v>0</v>
      </c>
      <c r="H7" s="95">
        <f>'(HIDE) Data Validation'!AQ42</f>
        <v>0</v>
      </c>
      <c r="I7" s="95">
        <f>'(HIDE) Data Validation'!BG42</f>
        <v>0</v>
      </c>
      <c r="J7" s="95">
        <f>'(HIDE) Data Validation'!BH42</f>
        <v>0</v>
      </c>
      <c r="K7" s="95">
        <f>'(HIDE) Data Validation'!BI42</f>
        <v>0</v>
      </c>
      <c r="L7" s="95">
        <f>'(HIDE) Data Validation'!BJ42</f>
        <v>0</v>
      </c>
      <c r="M7" s="95">
        <f>'(HIDE) Data Validation'!BK42</f>
        <v>0</v>
      </c>
      <c r="N7" s="95">
        <f>'(HIDE) Data Validation'!BL42</f>
        <v>0</v>
      </c>
      <c r="O7" s="96">
        <f>SUM(C7:N7)</f>
        <v>374227</v>
      </c>
      <c r="Q7" s="16"/>
      <c r="R7" s="158"/>
    </row>
    <row r="8" spans="2:18" x14ac:dyDescent="0.25">
      <c r="B8" s="104" t="str">
        <f>"Cash from Credit Sales ("&amp;'(HIDE) Data Validation'!A7&amp;")"</f>
        <v>Cash from Credit Sales (Burgers)</v>
      </c>
      <c r="C8" s="105">
        <f>'(HIDE) Data Validation'!AK104</f>
        <v>110712</v>
      </c>
      <c r="D8" s="105">
        <f>'(HIDE) Data Validation'!AL104</f>
        <v>110626.2</v>
      </c>
      <c r="E8" s="105">
        <f>'(HIDE) Data Validation'!AM104</f>
        <v>74432.100000000006</v>
      </c>
      <c r="F8" s="105">
        <f>'(HIDE) Data Validation'!AN104</f>
        <v>23256.9</v>
      </c>
      <c r="G8" s="105">
        <f>'(HIDE) Data Validation'!AO104</f>
        <v>0</v>
      </c>
      <c r="H8" s="105">
        <f>'(HIDE) Data Validation'!AP104</f>
        <v>0</v>
      </c>
      <c r="I8" s="105">
        <f>'(HIDE) Data Validation'!AQ104</f>
        <v>0</v>
      </c>
      <c r="J8" s="105">
        <f>'(HIDE) Data Validation'!AR104</f>
        <v>0</v>
      </c>
      <c r="K8" s="105">
        <f>'(HIDE) Data Validation'!AS104</f>
        <v>0</v>
      </c>
      <c r="L8" s="105">
        <f>'(HIDE) Data Validation'!AT104</f>
        <v>0</v>
      </c>
      <c r="M8" s="105">
        <f>'(HIDE) Data Validation'!AU104</f>
        <v>0</v>
      </c>
      <c r="N8" s="105">
        <f>'(HIDE) Data Validation'!AV104</f>
        <v>0</v>
      </c>
      <c r="O8" s="106">
        <f t="shared" ref="O8:O13" si="0">SUM(C8:N8)</f>
        <v>319027.20000000007</v>
      </c>
      <c r="Q8" s="16"/>
    </row>
    <row r="9" spans="2:18" x14ac:dyDescent="0.25">
      <c r="B9" s="20" t="str">
        <f>"Cash Sales ("&amp;'(HIDE) Data Validation'!B42&amp;")"</f>
        <v>Cash Sales (Hot Chips)</v>
      </c>
      <c r="C9" s="95">
        <f>'(HIDE) Data Validation'!AL44</f>
        <v>36705.199999999997</v>
      </c>
      <c r="D9" s="95">
        <f>'(HIDE) Data Validation'!AM44</f>
        <v>39233.599999999999</v>
      </c>
      <c r="E9" s="95">
        <f>'(HIDE) Data Validation'!AN44</f>
        <v>0</v>
      </c>
      <c r="F9" s="95">
        <f>'(HIDE) Data Validation'!AO44</f>
        <v>0</v>
      </c>
      <c r="G9" s="95">
        <f>'(HIDE) Data Validation'!AP44</f>
        <v>0</v>
      </c>
      <c r="H9" s="95">
        <f>'(HIDE) Data Validation'!AQ44</f>
        <v>0</v>
      </c>
      <c r="I9" s="95">
        <f>'(HIDE) Data Validation'!BG44</f>
        <v>0</v>
      </c>
      <c r="J9" s="95">
        <f>'(HIDE) Data Validation'!BH44</f>
        <v>0</v>
      </c>
      <c r="K9" s="95">
        <f>'(HIDE) Data Validation'!BI44</f>
        <v>0</v>
      </c>
      <c r="L9" s="95">
        <f>'(HIDE) Data Validation'!BJ44</f>
        <v>0</v>
      </c>
      <c r="M9" s="95">
        <f>'(HIDE) Data Validation'!BK44</f>
        <v>0</v>
      </c>
      <c r="N9" s="95">
        <f>'(HIDE) Data Validation'!BL44</f>
        <v>0</v>
      </c>
      <c r="O9" s="96">
        <f t="shared" si="0"/>
        <v>75938.799999999988</v>
      </c>
    </row>
    <row r="10" spans="2:18" x14ac:dyDescent="0.25">
      <c r="B10" s="104" t="str">
        <f>"Cash from Credit Sales ("&amp;'(HIDE) Data Validation'!B42&amp;")"</f>
        <v>Cash from Credit Sales (Hot Chips)</v>
      </c>
      <c r="C10" s="105">
        <f>'(HIDE) Data Validation'!AK120</f>
        <v>22465.439999999999</v>
      </c>
      <c r="D10" s="105">
        <f>'(HIDE) Data Validation'!AL120</f>
        <v>22447.919999999998</v>
      </c>
      <c r="E10" s="105">
        <f>'(HIDE) Data Validation'!AM120</f>
        <v>15103.56</v>
      </c>
      <c r="F10" s="105">
        <f>'(HIDE) Data Validation'!AN120</f>
        <v>4719.24</v>
      </c>
      <c r="G10" s="105">
        <f>'(HIDE) Data Validation'!AO120</f>
        <v>0</v>
      </c>
      <c r="H10" s="105">
        <f>'(HIDE) Data Validation'!AP120</f>
        <v>0</v>
      </c>
      <c r="I10" s="105">
        <f>'(HIDE) Data Validation'!AQ120</f>
        <v>0</v>
      </c>
      <c r="J10" s="105">
        <f>'(HIDE) Data Validation'!AR120</f>
        <v>0</v>
      </c>
      <c r="K10" s="105">
        <f>'(HIDE) Data Validation'!AS120</f>
        <v>0</v>
      </c>
      <c r="L10" s="105">
        <f>'(HIDE) Data Validation'!AT120</f>
        <v>0</v>
      </c>
      <c r="M10" s="105">
        <f>'(HIDE) Data Validation'!AU120</f>
        <v>0</v>
      </c>
      <c r="N10" s="105">
        <f>'(HIDE) Data Validation'!AV120</f>
        <v>0</v>
      </c>
      <c r="O10" s="106">
        <f t="shared" si="0"/>
        <v>64736.159999999996</v>
      </c>
      <c r="Q10" s="159"/>
    </row>
    <row r="11" spans="2:18" x14ac:dyDescent="0.25">
      <c r="B11" s="20" t="s">
        <v>432</v>
      </c>
      <c r="C11" s="95"/>
      <c r="D11" s="95"/>
      <c r="E11" s="95">
        <f>'(HIDE) Data Validation'!$I$62</f>
        <v>0</v>
      </c>
      <c r="F11" s="95">
        <f>'(HIDE) Data Validation'!$I$62</f>
        <v>0</v>
      </c>
      <c r="G11" s="95">
        <f>'(HIDE) Data Validation'!$I$62</f>
        <v>0</v>
      </c>
      <c r="H11" s="95">
        <f>'(HIDE) Data Validation'!$I$62</f>
        <v>0</v>
      </c>
      <c r="I11" s="95">
        <f>'(HIDE) Data Validation'!$I$62</f>
        <v>0</v>
      </c>
      <c r="J11" s="95">
        <f>'(HIDE) Data Validation'!$I$62</f>
        <v>0</v>
      </c>
      <c r="K11" s="95">
        <f>'(HIDE) Data Validation'!$I$66</f>
        <v>0</v>
      </c>
      <c r="L11" s="95">
        <f>'(HIDE) Data Validation'!$I$66</f>
        <v>0</v>
      </c>
      <c r="M11" s="95">
        <f>'(HIDE) Data Validation'!$I$66</f>
        <v>0</v>
      </c>
      <c r="N11" s="95">
        <f>'(HIDE) Data Validation'!$I$66</f>
        <v>0</v>
      </c>
      <c r="O11" s="96">
        <f t="shared" si="0"/>
        <v>0</v>
      </c>
    </row>
    <row r="12" spans="2:18" x14ac:dyDescent="0.25">
      <c r="B12" s="264" t="s">
        <v>683</v>
      </c>
      <c r="C12" s="265">
        <f>'(HIDE) Data Validation'!Z124</f>
        <v>0</v>
      </c>
      <c r="D12" s="265">
        <f>'(HIDE) Data Validation'!AA124</f>
        <v>0</v>
      </c>
      <c r="E12" s="265">
        <f>'(HIDE) Data Validation'!AB124</f>
        <v>0</v>
      </c>
      <c r="F12" s="265">
        <f>'(HIDE) Data Validation'!AC124</f>
        <v>0</v>
      </c>
      <c r="G12" s="265">
        <f>'(HIDE) Data Validation'!AD124</f>
        <v>0</v>
      </c>
      <c r="H12" s="265">
        <f>'(HIDE) Data Validation'!AE124</f>
        <v>0</v>
      </c>
      <c r="I12" s="265">
        <f>'(HIDE) Data Validation'!AF124</f>
        <v>0</v>
      </c>
      <c r="J12" s="265">
        <f>'(HIDE) Data Validation'!AG124</f>
        <v>0</v>
      </c>
      <c r="K12" s="265">
        <f>'(HIDE) Data Validation'!AH124</f>
        <v>0</v>
      </c>
      <c r="L12" s="265">
        <f>'(HIDE) Data Validation'!AI124</f>
        <v>0</v>
      </c>
      <c r="M12" s="265">
        <f>'(HIDE) Data Validation'!AJ124</f>
        <v>0</v>
      </c>
      <c r="N12" s="265">
        <f>'(HIDE) Data Validation'!AK124</f>
        <v>0</v>
      </c>
      <c r="O12" s="266">
        <f t="shared" si="0"/>
        <v>0</v>
      </c>
    </row>
    <row r="13" spans="2:18" x14ac:dyDescent="0.25">
      <c r="B13" s="20"/>
      <c r="C13" s="95"/>
      <c r="D13" s="95"/>
      <c r="E13" s="95"/>
      <c r="F13" s="95"/>
      <c r="G13" s="95"/>
      <c r="H13" s="95"/>
      <c r="I13" s="95"/>
      <c r="J13" s="95"/>
      <c r="K13" s="95"/>
      <c r="L13" s="95"/>
      <c r="M13" s="95"/>
      <c r="N13" s="95"/>
      <c r="O13" s="96">
        <f t="shared" si="0"/>
        <v>0</v>
      </c>
    </row>
    <row r="14" spans="2:18" s="7" customFormat="1" ht="15.75" x14ac:dyDescent="0.25">
      <c r="B14" s="107" t="s">
        <v>15</v>
      </c>
      <c r="C14" s="108">
        <f>ROUND(SUM(C7:C13),2)</f>
        <v>350769.64</v>
      </c>
      <c r="D14" s="108">
        <f t="shared" ref="D14:N14" si="1">ROUND(SUM(D7:D13),2)</f>
        <v>365647.72</v>
      </c>
      <c r="E14" s="108">
        <f t="shared" si="1"/>
        <v>89535.66</v>
      </c>
      <c r="F14" s="108">
        <f t="shared" si="1"/>
        <v>27976.14</v>
      </c>
      <c r="G14" s="108">
        <f t="shared" si="1"/>
        <v>0</v>
      </c>
      <c r="H14" s="108">
        <f t="shared" si="1"/>
        <v>0</v>
      </c>
      <c r="I14" s="108">
        <f t="shared" si="1"/>
        <v>0</v>
      </c>
      <c r="J14" s="108">
        <f t="shared" si="1"/>
        <v>0</v>
      </c>
      <c r="K14" s="108">
        <f t="shared" si="1"/>
        <v>0</v>
      </c>
      <c r="L14" s="108">
        <f t="shared" si="1"/>
        <v>0</v>
      </c>
      <c r="M14" s="108">
        <f t="shared" si="1"/>
        <v>0</v>
      </c>
      <c r="N14" s="108">
        <f t="shared" si="1"/>
        <v>0</v>
      </c>
      <c r="O14" s="108">
        <f>SUM(C14:N14)</f>
        <v>833929.16</v>
      </c>
      <c r="Q14" s="17"/>
    </row>
    <row r="15" spans="2:18" x14ac:dyDescent="0.25">
      <c r="B15" s="10"/>
      <c r="C15" s="95"/>
      <c r="D15" s="95"/>
      <c r="E15" s="95"/>
      <c r="F15" s="95"/>
      <c r="G15" s="95"/>
      <c r="H15" s="95"/>
      <c r="I15" s="95"/>
      <c r="J15" s="95"/>
      <c r="K15" s="95"/>
      <c r="L15" s="95"/>
      <c r="M15" s="95"/>
      <c r="N15" s="95"/>
      <c r="O15" s="96"/>
    </row>
    <row r="16" spans="2:18" ht="15.75" x14ac:dyDescent="0.25">
      <c r="B16" s="107" t="s">
        <v>16</v>
      </c>
      <c r="C16" s="105"/>
      <c r="D16" s="105"/>
      <c r="E16" s="105"/>
      <c r="F16" s="105"/>
      <c r="G16" s="105"/>
      <c r="H16" s="105"/>
      <c r="I16" s="105"/>
      <c r="J16" s="105"/>
      <c r="K16" s="105"/>
      <c r="L16" s="105"/>
      <c r="M16" s="105"/>
      <c r="N16" s="105"/>
      <c r="O16" s="106"/>
    </row>
    <row r="17" spans="2:17" x14ac:dyDescent="0.25">
      <c r="B17" s="20" t="str">
        <f>"Food Purchases ("&amp;'(HIDE) Data Validation'!A7&amp;")"</f>
        <v>Food Purchases (Burgers)</v>
      </c>
      <c r="C17" s="95">
        <f>ROUND('(HIDE) Data Validation'!AL19,2)</f>
        <v>105143</v>
      </c>
      <c r="D17" s="95">
        <f>ROUND('(HIDE) Data Validation'!AM19,2)</f>
        <v>82860</v>
      </c>
      <c r="E17" s="95">
        <f>ROUND('(HIDE) Data Validation'!AN19,2)</f>
        <v>0</v>
      </c>
      <c r="F17" s="95">
        <f>ROUND('(HIDE) Data Validation'!AO19,2)</f>
        <v>0</v>
      </c>
      <c r="G17" s="95">
        <f>ROUND('(HIDE) Data Validation'!AP19,2)</f>
        <v>0</v>
      </c>
      <c r="H17" s="95">
        <f>ROUND('(HIDE) Data Validation'!AQ19,2)</f>
        <v>0</v>
      </c>
      <c r="I17" s="95">
        <f>ROUND('(HIDE) Data Validation'!BG17,2)</f>
        <v>0</v>
      </c>
      <c r="J17" s="95">
        <f>ROUND('(HIDE) Data Validation'!BH17,2)</f>
        <v>0</v>
      </c>
      <c r="K17" s="95">
        <f>ROUND('(HIDE) Data Validation'!BI17,2)</f>
        <v>0</v>
      </c>
      <c r="L17" s="95">
        <f>ROUND('(HIDE) Data Validation'!BJ17,2)</f>
        <v>0</v>
      </c>
      <c r="M17" s="95">
        <f>ROUND('(HIDE) Data Validation'!BK17,2)</f>
        <v>0</v>
      </c>
      <c r="N17" s="95">
        <f>ROUND('(HIDE) Data Validation'!BL17,2)</f>
        <v>0</v>
      </c>
      <c r="O17" s="96">
        <f>SUM(C17:N17)</f>
        <v>188003</v>
      </c>
      <c r="Q17" s="16"/>
    </row>
    <row r="18" spans="2:17" x14ac:dyDescent="0.25">
      <c r="B18" s="104" t="str">
        <f>"Food Purchases ("&amp;'(HIDE) Data Validation'!B42&amp;")"</f>
        <v>Food Purchases (Hot Chips)</v>
      </c>
      <c r="C18" s="105">
        <f>ROUND('(HIDE) Data Validation'!AL40,2)</f>
        <v>18668.650000000001</v>
      </c>
      <c r="D18" s="105">
        <f>ROUND('(HIDE) Data Validation'!AM40,2)</f>
        <v>14712.6</v>
      </c>
      <c r="E18" s="105">
        <f>ROUND('(HIDE) Data Validation'!AN40,2)</f>
        <v>0</v>
      </c>
      <c r="F18" s="105">
        <f>ROUND('(HIDE) Data Validation'!AO40,2)</f>
        <v>0</v>
      </c>
      <c r="G18" s="105">
        <f>ROUND('(HIDE) Data Validation'!AP40,2)</f>
        <v>0</v>
      </c>
      <c r="H18" s="105">
        <f>ROUND('(HIDE) Data Validation'!AQ40,2)</f>
        <v>0</v>
      </c>
      <c r="I18" s="105">
        <f>ROUND('(HIDE) Data Validation'!BG40,2)</f>
        <v>0</v>
      </c>
      <c r="J18" s="105">
        <f>ROUND('(HIDE) Data Validation'!BH40,2)</f>
        <v>0</v>
      </c>
      <c r="K18" s="105">
        <f>ROUND('(HIDE) Data Validation'!BI40,2)</f>
        <v>0</v>
      </c>
      <c r="L18" s="105">
        <f>ROUND('(HIDE) Data Validation'!BJ40,2)</f>
        <v>0</v>
      </c>
      <c r="M18" s="105">
        <f>ROUND('(HIDE) Data Validation'!BK40,2)</f>
        <v>0</v>
      </c>
      <c r="N18" s="105">
        <f>ROUND('(HIDE) Data Validation'!BL40,2)</f>
        <v>0</v>
      </c>
      <c r="O18" s="106">
        <f>ROUND(SUM(C18:N18),2)</f>
        <v>33381.25</v>
      </c>
      <c r="Q18" s="16"/>
    </row>
    <row r="19" spans="2:17" x14ac:dyDescent="0.25">
      <c r="B19" s="20" t="s">
        <v>314</v>
      </c>
      <c r="C19" s="95">
        <f>'(HIDE) Data Validation'!AL67</f>
        <v>1086</v>
      </c>
      <c r="D19" s="95">
        <f>'(HIDE) Data Validation'!AM67</f>
        <v>1161</v>
      </c>
      <c r="E19" s="95">
        <f>'(HIDE) Data Validation'!AN67</f>
        <v>0</v>
      </c>
      <c r="F19" s="95">
        <f>'(HIDE) Data Validation'!AO67</f>
        <v>0</v>
      </c>
      <c r="G19" s="95">
        <f>'(HIDE) Data Validation'!AP67</f>
        <v>0</v>
      </c>
      <c r="H19" s="95">
        <f>'(HIDE) Data Validation'!AQ67</f>
        <v>0</v>
      </c>
      <c r="I19" s="95">
        <f>'(HIDE) Data Validation'!BG67</f>
        <v>0</v>
      </c>
      <c r="J19" s="95">
        <f>'(HIDE) Data Validation'!BH67</f>
        <v>0</v>
      </c>
      <c r="K19" s="95">
        <f>'(HIDE) Data Validation'!BI67</f>
        <v>0</v>
      </c>
      <c r="L19" s="95">
        <f>'(HIDE) Data Validation'!BJ67</f>
        <v>0</v>
      </c>
      <c r="M19" s="95">
        <f>'(HIDE) Data Validation'!BK67</f>
        <v>0</v>
      </c>
      <c r="N19" s="95">
        <f>'(HIDE) Data Validation'!BL67</f>
        <v>0</v>
      </c>
      <c r="O19" s="96">
        <f t="shared" ref="O19:O30" si="2">SUM(C19:N19)</f>
        <v>2247</v>
      </c>
      <c r="Q19" s="16"/>
    </row>
    <row r="20" spans="2:17" x14ac:dyDescent="0.25">
      <c r="B20" s="104" t="s">
        <v>17</v>
      </c>
      <c r="C20" s="105">
        <f>'(HIDE) Data Validation'!$H$13</f>
        <v>28000</v>
      </c>
      <c r="D20" s="105">
        <f>'(HIDE) Data Validation'!$H$13</f>
        <v>28000</v>
      </c>
      <c r="E20" s="105">
        <f>'(HIDE) Data Validation'!$H$13</f>
        <v>28000</v>
      </c>
      <c r="F20" s="105">
        <f>'(HIDE) Data Validation'!$H$13</f>
        <v>28000</v>
      </c>
      <c r="G20" s="105">
        <f>'(HIDE) Data Validation'!$H$13</f>
        <v>28000</v>
      </c>
      <c r="H20" s="105">
        <f>'(HIDE) Data Validation'!$H$13</f>
        <v>28000</v>
      </c>
      <c r="I20" s="105">
        <f>'(HIDE) Data Validation'!$H$13</f>
        <v>28000</v>
      </c>
      <c r="J20" s="105">
        <f>'(HIDE) Data Validation'!$H$13</f>
        <v>28000</v>
      </c>
      <c r="K20" s="105">
        <f>'(HIDE) Data Validation'!$H$13</f>
        <v>28000</v>
      </c>
      <c r="L20" s="105">
        <f>'(HIDE) Data Validation'!$H$13</f>
        <v>28000</v>
      </c>
      <c r="M20" s="105">
        <f>'(HIDE) Data Validation'!$H$13</f>
        <v>28000</v>
      </c>
      <c r="N20" s="105">
        <f>'(HIDE) Data Validation'!$H$13</f>
        <v>28000</v>
      </c>
      <c r="O20" s="106">
        <f t="shared" si="2"/>
        <v>336000</v>
      </c>
    </row>
    <row r="21" spans="2:17" x14ac:dyDescent="0.25">
      <c r="B21" s="20" t="s">
        <v>18</v>
      </c>
      <c r="C21" s="95">
        <f>'(HIDE) Data Validation'!AB24</f>
        <v>8400</v>
      </c>
      <c r="D21" s="95">
        <f>'(HIDE) Data Validation'!AC24</f>
        <v>8400</v>
      </c>
      <c r="E21" s="95">
        <f>'(HIDE) Data Validation'!AD24</f>
        <v>8400</v>
      </c>
      <c r="F21" s="95">
        <f>'(HIDE) Data Validation'!$D$69</f>
        <v>840</v>
      </c>
      <c r="G21" s="95">
        <f>'(HIDE) Data Validation'!$D$69</f>
        <v>840</v>
      </c>
      <c r="H21" s="95">
        <f>'(HIDE) Data Validation'!$D$69</f>
        <v>840</v>
      </c>
      <c r="I21" s="95">
        <f>'(HIDE) Data Validation'!$D$69</f>
        <v>840</v>
      </c>
      <c r="J21" s="95">
        <f>'(HIDE) Data Validation'!$D$69</f>
        <v>840</v>
      </c>
      <c r="K21" s="95">
        <f>'(HIDE) Data Validation'!$D$69</f>
        <v>840</v>
      </c>
      <c r="L21" s="95">
        <f>'(HIDE) Data Validation'!$D$69</f>
        <v>840</v>
      </c>
      <c r="M21" s="95">
        <f>'(HIDE) Data Validation'!$D$69</f>
        <v>840</v>
      </c>
      <c r="N21" s="95">
        <f>'(HIDE) Data Validation'!$D$69</f>
        <v>840</v>
      </c>
      <c r="O21" s="96">
        <f t="shared" si="2"/>
        <v>32760</v>
      </c>
    </row>
    <row r="22" spans="2:17" x14ac:dyDescent="0.25">
      <c r="B22" s="104" t="s">
        <v>19</v>
      </c>
      <c r="C22" s="105">
        <v>300</v>
      </c>
      <c r="D22" s="105">
        <v>300</v>
      </c>
      <c r="E22" s="105">
        <v>300</v>
      </c>
      <c r="F22" s="105">
        <v>300</v>
      </c>
      <c r="G22" s="105">
        <v>300</v>
      </c>
      <c r="H22" s="105">
        <v>300</v>
      </c>
      <c r="I22" s="105">
        <v>300</v>
      </c>
      <c r="J22" s="105">
        <v>300</v>
      </c>
      <c r="K22" s="105">
        <v>300</v>
      </c>
      <c r="L22" s="105">
        <v>300</v>
      </c>
      <c r="M22" s="105">
        <v>300</v>
      </c>
      <c r="N22" s="105">
        <v>300</v>
      </c>
      <c r="O22" s="106">
        <f t="shared" si="2"/>
        <v>3600</v>
      </c>
    </row>
    <row r="23" spans="2:17" x14ac:dyDescent="0.25">
      <c r="B23" s="20" t="s">
        <v>28</v>
      </c>
      <c r="C23" s="95">
        <f>'(HIDE) Data Validation'!$J$3</f>
        <v>5000</v>
      </c>
      <c r="D23" s="95">
        <f>'(HIDE) Data Validation'!$J$3</f>
        <v>5000</v>
      </c>
      <c r="E23" s="95">
        <f>'(HIDE) Data Validation'!$D$70</f>
        <v>0</v>
      </c>
      <c r="F23" s="95">
        <f>'(HIDE) Data Validation'!$D$70</f>
        <v>0</v>
      </c>
      <c r="G23" s="95">
        <f>'(HIDE) Data Validation'!$D$70</f>
        <v>0</v>
      </c>
      <c r="H23" s="95">
        <f>'(HIDE) Data Validation'!$D$70</f>
        <v>0</v>
      </c>
      <c r="I23" s="95">
        <f>'(HIDE) Data Validation'!$D$70</f>
        <v>0</v>
      </c>
      <c r="J23" s="95">
        <f>'(HIDE) Data Validation'!$D$70</f>
        <v>0</v>
      </c>
      <c r="K23" s="95">
        <f>'(HIDE) Data Validation'!$D$70</f>
        <v>0</v>
      </c>
      <c r="L23" s="95">
        <f>'(HIDE) Data Validation'!$D$70</f>
        <v>0</v>
      </c>
      <c r="M23" s="95">
        <f>'(HIDE) Data Validation'!$D$70</f>
        <v>0</v>
      </c>
      <c r="N23" s="95">
        <f>'(HIDE) Data Validation'!$D$70</f>
        <v>0</v>
      </c>
      <c r="O23" s="96">
        <f t="shared" si="2"/>
        <v>10000</v>
      </c>
    </row>
    <row r="24" spans="2:17" x14ac:dyDescent="0.25">
      <c r="B24" s="104" t="s">
        <v>20</v>
      </c>
      <c r="C24" s="105">
        <v>6800</v>
      </c>
      <c r="D24" s="105">
        <v>6800</v>
      </c>
      <c r="E24" s="105">
        <v>6800</v>
      </c>
      <c r="F24" s="105">
        <v>6800</v>
      </c>
      <c r="G24" s="105">
        <v>6800</v>
      </c>
      <c r="H24" s="105">
        <v>6800</v>
      </c>
      <c r="I24" s="105">
        <v>6800</v>
      </c>
      <c r="J24" s="105">
        <v>6800</v>
      </c>
      <c r="K24" s="105">
        <v>6800</v>
      </c>
      <c r="L24" s="105">
        <v>6800</v>
      </c>
      <c r="M24" s="105">
        <v>6800</v>
      </c>
      <c r="N24" s="105">
        <v>6800</v>
      </c>
      <c r="O24" s="106">
        <f t="shared" si="2"/>
        <v>81600</v>
      </c>
    </row>
    <row r="25" spans="2:17" x14ac:dyDescent="0.25">
      <c r="B25" s="20" t="s">
        <v>21</v>
      </c>
      <c r="C25" s="95">
        <f>'(HIDE) Data Validation'!Z17</f>
        <v>122880</v>
      </c>
      <c r="D25" s="95">
        <f>'(HIDE) Data Validation'!AB17</f>
        <v>87040</v>
      </c>
      <c r="E25" s="95">
        <f>'(HIDE) Data Validation'!AC17</f>
        <v>92160</v>
      </c>
      <c r="F25" s="95">
        <f>'(HIDE) Data Validation'!$I$64</f>
        <v>0</v>
      </c>
      <c r="G25" s="95">
        <f>'(HIDE) Data Validation'!$I$64</f>
        <v>0</v>
      </c>
      <c r="H25" s="95">
        <f>'(HIDE) Data Validation'!$I$64</f>
        <v>0</v>
      </c>
      <c r="I25" s="95">
        <f>'(HIDE) Data Validation'!$I$64</f>
        <v>0</v>
      </c>
      <c r="J25" s="95">
        <f>'(HIDE) Data Validation'!BG23</f>
        <v>10240</v>
      </c>
      <c r="K25" s="95">
        <f>'(HIDE) Data Validation'!BH23</f>
        <v>10240</v>
      </c>
      <c r="L25" s="95">
        <f>'(HIDE) Data Validation'!BI23</f>
        <v>10240</v>
      </c>
      <c r="M25" s="95">
        <f>'(HIDE) Data Validation'!BJ23</f>
        <v>10240</v>
      </c>
      <c r="N25" s="95">
        <f>'(HIDE) Data Validation'!BK23</f>
        <v>10240</v>
      </c>
      <c r="O25" s="96">
        <f>SUM(D25:N25)</f>
        <v>230400</v>
      </c>
    </row>
    <row r="26" spans="2:17" x14ac:dyDescent="0.25">
      <c r="B26" s="104" t="s">
        <v>22</v>
      </c>
      <c r="C26" s="105">
        <f>'(HIDE) Data Validation'!Z126</f>
        <v>3366.45</v>
      </c>
      <c r="D26" s="105">
        <f>'(HIDE) Data Validation'!AA126</f>
        <v>3366.45</v>
      </c>
      <c r="E26" s="105">
        <f>'(HIDE) Data Validation'!AB126</f>
        <v>3366.45</v>
      </c>
      <c r="F26" s="105">
        <f>'(HIDE) Data Validation'!AC126</f>
        <v>3366.45</v>
      </c>
      <c r="G26" s="105">
        <f>'(HIDE) Data Validation'!AD126</f>
        <v>3366.45</v>
      </c>
      <c r="H26" s="105">
        <f>'(HIDE) Data Validation'!AE126</f>
        <v>3366.45</v>
      </c>
      <c r="I26" s="105">
        <f>'(HIDE) Data Validation'!AF126</f>
        <v>3366.45</v>
      </c>
      <c r="J26" s="105">
        <f>'(HIDE) Data Validation'!AG126</f>
        <v>3366.45</v>
      </c>
      <c r="K26" s="105">
        <f>'(HIDE) Data Validation'!AH126</f>
        <v>3366.45</v>
      </c>
      <c r="L26" s="105">
        <f>'(HIDE) Data Validation'!AI126</f>
        <v>3366.45</v>
      </c>
      <c r="M26" s="105">
        <f>'(HIDE) Data Validation'!AJ126</f>
        <v>3366.45</v>
      </c>
      <c r="N26" s="105">
        <f>'(HIDE) Data Validation'!AK126</f>
        <v>3366.45</v>
      </c>
      <c r="O26" s="106">
        <f t="shared" si="2"/>
        <v>40397.399999999994</v>
      </c>
    </row>
    <row r="27" spans="2:17" x14ac:dyDescent="0.25">
      <c r="B27" s="20" t="s">
        <v>526</v>
      </c>
      <c r="C27" s="95">
        <f>'(HIDE) Data Validation'!AL50</f>
        <v>0</v>
      </c>
      <c r="D27" s="95">
        <f>'(HIDE) Data Validation'!AM50</f>
        <v>0</v>
      </c>
      <c r="E27" s="95">
        <f>'(HIDE) Data Validation'!AN50</f>
        <v>0</v>
      </c>
      <c r="F27" s="95">
        <f>'(HIDE) Data Validation'!AO50</f>
        <v>0</v>
      </c>
      <c r="G27" s="95">
        <f>'(HIDE) Data Validation'!AP50</f>
        <v>0</v>
      </c>
      <c r="H27" s="95">
        <f>'(HIDE) Data Validation'!AQ50</f>
        <v>0</v>
      </c>
      <c r="I27" s="95">
        <f>'(HIDE) Data Validation'!BG50</f>
        <v>0</v>
      </c>
      <c r="J27" s="95">
        <f>'(HIDE) Data Validation'!BH50</f>
        <v>0</v>
      </c>
      <c r="K27" s="95">
        <f>'(HIDE) Data Validation'!BI50</f>
        <v>0</v>
      </c>
      <c r="L27" s="95">
        <f>'(HIDE) Data Validation'!BJ50</f>
        <v>0</v>
      </c>
      <c r="M27" s="95">
        <f>'(HIDE) Data Validation'!BK50</f>
        <v>0</v>
      </c>
      <c r="N27" s="95">
        <f>'(HIDE) Data Validation'!BL50</f>
        <v>0</v>
      </c>
      <c r="O27" s="96">
        <f t="shared" si="2"/>
        <v>0</v>
      </c>
    </row>
    <row r="28" spans="2:17" x14ac:dyDescent="0.25">
      <c r="B28" s="104" t="s">
        <v>525</v>
      </c>
      <c r="C28" s="105">
        <f>'(HIDE) Data Validation'!AB36</f>
        <v>0</v>
      </c>
      <c r="D28" s="105">
        <f>'(HIDE) Data Validation'!AC36</f>
        <v>0</v>
      </c>
      <c r="E28" s="105">
        <v>0</v>
      </c>
      <c r="F28" s="105">
        <v>0</v>
      </c>
      <c r="G28" s="105">
        <v>0</v>
      </c>
      <c r="H28" s="105">
        <v>0</v>
      </c>
      <c r="I28" s="105">
        <v>0</v>
      </c>
      <c r="J28" s="105">
        <v>0</v>
      </c>
      <c r="K28" s="105">
        <v>0</v>
      </c>
      <c r="L28" s="105">
        <v>0</v>
      </c>
      <c r="M28" s="105">
        <v>0</v>
      </c>
      <c r="N28" s="105">
        <v>0</v>
      </c>
      <c r="O28" s="106">
        <f t="shared" si="2"/>
        <v>0</v>
      </c>
    </row>
    <row r="29" spans="2:17" x14ac:dyDescent="0.25">
      <c r="B29" s="20" t="s">
        <v>148</v>
      </c>
      <c r="C29" s="95" t="str">
        <f>'(HIDE) Data Validation'!$B$16</f>
        <v/>
      </c>
      <c r="D29" s="95" t="str">
        <f>'(HIDE) Data Validation'!$B$16</f>
        <v/>
      </c>
      <c r="E29" s="95" t="str">
        <f>'(HIDE) Data Validation'!$B$16</f>
        <v/>
      </c>
      <c r="F29" s="95" t="str">
        <f>'(HIDE) Data Validation'!$B$16</f>
        <v/>
      </c>
      <c r="G29" s="95" t="str">
        <f>'(HIDE) Data Validation'!$B$16</f>
        <v/>
      </c>
      <c r="H29" s="95" t="str">
        <f>'(HIDE) Data Validation'!$B$16</f>
        <v/>
      </c>
      <c r="I29" s="95" t="str">
        <f>'(HIDE) Data Validation'!$B$16</f>
        <v/>
      </c>
      <c r="J29" s="95" t="str">
        <f>'(HIDE) Data Validation'!$B$16</f>
        <v/>
      </c>
      <c r="K29" s="95" t="str">
        <f>'(HIDE) Data Validation'!$B$16</f>
        <v/>
      </c>
      <c r="L29" s="95" t="str">
        <f>'(HIDE) Data Validation'!$B$16</f>
        <v/>
      </c>
      <c r="M29" s="95" t="str">
        <f>'(HIDE) Data Validation'!$B$16</f>
        <v/>
      </c>
      <c r="N29" s="95" t="str">
        <f>'(HIDE) Data Validation'!$B$16</f>
        <v/>
      </c>
      <c r="O29" s="96">
        <f t="shared" si="2"/>
        <v>0</v>
      </c>
    </row>
    <row r="30" spans="2:17" x14ac:dyDescent="0.25">
      <c r="B30" s="104" t="str">
        <f>'(HIDE) Data Validation'!K54</f>
        <v/>
      </c>
      <c r="C30" s="105" t="str">
        <f>'(HIDE) Data Validation'!AB65</f>
        <v/>
      </c>
      <c r="D30" s="105" t="str">
        <f>'(HIDE) Data Validation'!AC65</f>
        <v/>
      </c>
      <c r="E30" s="105"/>
      <c r="F30" s="105"/>
      <c r="G30" s="105"/>
      <c r="H30" s="105"/>
      <c r="I30" s="105"/>
      <c r="J30" s="105"/>
      <c r="K30" s="105"/>
      <c r="L30" s="105"/>
      <c r="M30" s="105"/>
      <c r="N30" s="105"/>
      <c r="O30" s="106">
        <f t="shared" si="2"/>
        <v>0</v>
      </c>
    </row>
    <row r="31" spans="2:17" x14ac:dyDescent="0.25">
      <c r="B31" s="20" t="str">
        <f>'(HIDE) Data Validation'!G64</f>
        <v/>
      </c>
      <c r="C31" s="95"/>
      <c r="D31" s="95"/>
      <c r="E31" s="95">
        <f>ROUND('(HIDE) Data Validation'!AN65,2)</f>
        <v>0</v>
      </c>
      <c r="F31" s="95">
        <f>ROUND('(HIDE) Data Validation'!AO65,2)</f>
        <v>0</v>
      </c>
      <c r="G31" s="95">
        <f>ROUND('(HIDE) Data Validation'!AP65,2)</f>
        <v>0</v>
      </c>
      <c r="H31" s="95">
        <f>ROUND('(HIDE) Data Validation'!AQ65,2)</f>
        <v>0</v>
      </c>
      <c r="I31" s="95">
        <f>ROUND('(HIDE) Data Validation'!BG65,2)</f>
        <v>0</v>
      </c>
      <c r="J31" s="95">
        <f>ROUND('(HIDE) Data Validation'!BH65,2)</f>
        <v>0</v>
      </c>
      <c r="K31" s="95">
        <f>ROUND('(HIDE) Data Validation'!BI65,2)</f>
        <v>0</v>
      </c>
      <c r="L31" s="95">
        <f>ROUND('(HIDE) Data Validation'!BJ65,2)</f>
        <v>0</v>
      </c>
      <c r="M31" s="95">
        <f>ROUND('(HIDE) Data Validation'!BK65,2)</f>
        <v>0</v>
      </c>
      <c r="N31" s="95">
        <f>ROUND('(HIDE) Data Validation'!BL65,2)</f>
        <v>0</v>
      </c>
      <c r="O31" s="96">
        <f>SUM(C31:N31)</f>
        <v>0</v>
      </c>
      <c r="P31" s="16"/>
    </row>
    <row r="32" spans="2:17" s="7" customFormat="1" ht="15.75" x14ac:dyDescent="0.25">
      <c r="B32" s="107" t="s">
        <v>23</v>
      </c>
      <c r="C32" s="108">
        <f>ROUND(SUM(C17:C31),2)</f>
        <v>299644.09999999998</v>
      </c>
      <c r="D32" s="108">
        <f t="shared" ref="D32:N32" si="3">ROUND(SUM(D17:D31),2)</f>
        <v>237640.05</v>
      </c>
      <c r="E32" s="108">
        <f t="shared" si="3"/>
        <v>139026.45000000001</v>
      </c>
      <c r="F32" s="108">
        <f t="shared" si="3"/>
        <v>39306.449999999997</v>
      </c>
      <c r="G32" s="108">
        <f t="shared" si="3"/>
        <v>39306.449999999997</v>
      </c>
      <c r="H32" s="108">
        <f t="shared" si="3"/>
        <v>39306.449999999997</v>
      </c>
      <c r="I32" s="108">
        <f t="shared" si="3"/>
        <v>39306.449999999997</v>
      </c>
      <c r="J32" s="108">
        <f t="shared" si="3"/>
        <v>49546.45</v>
      </c>
      <c r="K32" s="108">
        <f t="shared" si="3"/>
        <v>49546.45</v>
      </c>
      <c r="L32" s="108">
        <f t="shared" si="3"/>
        <v>49546.45</v>
      </c>
      <c r="M32" s="108">
        <f t="shared" si="3"/>
        <v>49546.45</v>
      </c>
      <c r="N32" s="108">
        <f t="shared" si="3"/>
        <v>49546.45</v>
      </c>
      <c r="O32" s="108">
        <f>SUM(C32:N32)</f>
        <v>1081268.6499999994</v>
      </c>
    </row>
    <row r="33" spans="2:17" x14ac:dyDescent="0.25">
      <c r="B33" s="22"/>
      <c r="C33" s="95"/>
      <c r="D33" s="95"/>
      <c r="E33" s="95"/>
      <c r="F33" s="95"/>
      <c r="G33" s="95"/>
      <c r="H33" s="95"/>
      <c r="I33" s="95"/>
      <c r="J33" s="95"/>
      <c r="K33" s="95"/>
      <c r="L33" s="95"/>
      <c r="M33" s="95"/>
      <c r="N33" s="95"/>
      <c r="O33" s="96"/>
      <c r="P33" s="16"/>
    </row>
    <row r="34" spans="2:17" x14ac:dyDescent="0.25">
      <c r="B34" s="110" t="s">
        <v>24</v>
      </c>
      <c r="C34" s="105">
        <f t="shared" ref="C34:N34" si="4">C14-C32</f>
        <v>51125.540000000037</v>
      </c>
      <c r="D34" s="105">
        <f t="shared" si="4"/>
        <v>128007.66999999998</v>
      </c>
      <c r="E34" s="105">
        <f t="shared" si="4"/>
        <v>-49490.790000000008</v>
      </c>
      <c r="F34" s="105">
        <f t="shared" si="4"/>
        <v>-11330.309999999998</v>
      </c>
      <c r="G34" s="105">
        <f t="shared" si="4"/>
        <v>-39306.449999999997</v>
      </c>
      <c r="H34" s="105">
        <f t="shared" si="4"/>
        <v>-39306.449999999997</v>
      </c>
      <c r="I34" s="105">
        <f t="shared" si="4"/>
        <v>-39306.449999999997</v>
      </c>
      <c r="J34" s="105">
        <f t="shared" si="4"/>
        <v>-49546.45</v>
      </c>
      <c r="K34" s="105">
        <f t="shared" si="4"/>
        <v>-49546.45</v>
      </c>
      <c r="L34" s="105">
        <f t="shared" si="4"/>
        <v>-49546.45</v>
      </c>
      <c r="M34" s="105">
        <f t="shared" si="4"/>
        <v>-49546.45</v>
      </c>
      <c r="N34" s="105">
        <f t="shared" si="4"/>
        <v>-49546.45</v>
      </c>
      <c r="O34" s="106">
        <f>SUM(C34:N34)</f>
        <v>-247339.49</v>
      </c>
      <c r="Q34" s="16"/>
    </row>
    <row r="35" spans="2:17" x14ac:dyDescent="0.25">
      <c r="B35" s="10"/>
      <c r="C35" s="95"/>
      <c r="D35" s="95"/>
      <c r="E35" s="95"/>
      <c r="F35" s="95"/>
      <c r="G35" s="95"/>
      <c r="H35" s="95"/>
      <c r="I35" s="95"/>
      <c r="J35" s="95"/>
      <c r="K35" s="95"/>
      <c r="L35" s="95"/>
      <c r="M35" s="95"/>
      <c r="N35" s="95"/>
      <c r="O35" s="96"/>
    </row>
    <row r="36" spans="2:17" x14ac:dyDescent="0.25">
      <c r="B36" s="110" t="s">
        <v>25</v>
      </c>
      <c r="C36" s="105">
        <f>'2019 Full Cash Budget'!O40</f>
        <v>282733.35999999993</v>
      </c>
      <c r="D36" s="105">
        <f t="shared" ref="D36:N36" si="5">C38</f>
        <v>333858.90000000002</v>
      </c>
      <c r="E36" s="105">
        <f t="shared" si="5"/>
        <v>461866.57</v>
      </c>
      <c r="F36" s="105">
        <f t="shared" si="5"/>
        <v>412375.78</v>
      </c>
      <c r="G36" s="105">
        <f t="shared" si="5"/>
        <v>401045.47</v>
      </c>
      <c r="H36" s="105">
        <f t="shared" si="5"/>
        <v>361739.02</v>
      </c>
      <c r="I36" s="105">
        <f t="shared" si="5"/>
        <v>322432.57</v>
      </c>
      <c r="J36" s="105">
        <f t="shared" si="5"/>
        <v>283126.12</v>
      </c>
      <c r="K36" s="105">
        <f t="shared" si="5"/>
        <v>233579.67</v>
      </c>
      <c r="L36" s="105">
        <f t="shared" si="5"/>
        <v>184033.22</v>
      </c>
      <c r="M36" s="105">
        <f t="shared" si="5"/>
        <v>134486.76999999999</v>
      </c>
      <c r="N36" s="105">
        <f t="shared" si="5"/>
        <v>84940.32</v>
      </c>
      <c r="O36" s="106">
        <f>C36</f>
        <v>282733.35999999993</v>
      </c>
    </row>
    <row r="37" spans="2:17" x14ac:dyDescent="0.25">
      <c r="B37" s="10"/>
      <c r="C37" s="95"/>
      <c r="D37" s="95"/>
      <c r="E37" s="95"/>
      <c r="F37" s="95"/>
      <c r="G37" s="95"/>
      <c r="H37" s="95"/>
      <c r="I37" s="95"/>
      <c r="J37" s="95"/>
      <c r="K37" s="95"/>
      <c r="L37" s="95"/>
      <c r="M37" s="95"/>
      <c r="N37" s="95"/>
      <c r="O37" s="96"/>
    </row>
    <row r="38" spans="2:17" ht="15.75" x14ac:dyDescent="0.25">
      <c r="B38" s="180" t="s">
        <v>26</v>
      </c>
      <c r="C38" s="179">
        <f>ROUND(C36+C34,2)</f>
        <v>333858.90000000002</v>
      </c>
      <c r="D38" s="179">
        <f t="shared" ref="D38:N38" si="6">ROUND(D36+D34,2)</f>
        <v>461866.57</v>
      </c>
      <c r="E38" s="179">
        <f t="shared" si="6"/>
        <v>412375.78</v>
      </c>
      <c r="F38" s="179">
        <f t="shared" si="6"/>
        <v>401045.47</v>
      </c>
      <c r="G38" s="179">
        <f t="shared" si="6"/>
        <v>361739.02</v>
      </c>
      <c r="H38" s="179">
        <f t="shared" si="6"/>
        <v>322432.57</v>
      </c>
      <c r="I38" s="179">
        <f t="shared" si="6"/>
        <v>283126.12</v>
      </c>
      <c r="J38" s="179">
        <f t="shared" si="6"/>
        <v>233579.67</v>
      </c>
      <c r="K38" s="179">
        <f t="shared" si="6"/>
        <v>184033.22</v>
      </c>
      <c r="L38" s="179">
        <f t="shared" si="6"/>
        <v>134486.76999999999</v>
      </c>
      <c r="M38" s="179">
        <f t="shared" si="6"/>
        <v>84940.32</v>
      </c>
      <c r="N38" s="179">
        <f t="shared" si="6"/>
        <v>35393.870000000003</v>
      </c>
      <c r="O38" s="179">
        <f>N38</f>
        <v>35393.870000000003</v>
      </c>
    </row>
    <row r="40" spans="2:17" ht="26.25" x14ac:dyDescent="0.4">
      <c r="B40" s="369" t="str">
        <f>IF('(HIDE) Data Validation'!B26=0,"","YOU HAVE NOT YET RAISED ENOUGH CAPITAL. YOU STILL NEED $"&amp;TEXT('(HIDE) Data Validation'!B26,"#,##0;;@"))</f>
        <v>YOU HAVE NOT YET RAISED ENOUGH CAPITAL. YOU STILL NEED $275,865</v>
      </c>
      <c r="C40" s="369"/>
      <c r="D40" s="369"/>
      <c r="E40" s="369"/>
      <c r="F40" s="369"/>
      <c r="G40" s="369"/>
      <c r="H40" s="369"/>
      <c r="I40" s="369"/>
      <c r="J40" s="369"/>
      <c r="K40" s="369"/>
      <c r="L40" s="369"/>
      <c r="M40" s="369"/>
      <c r="N40" s="369"/>
      <c r="O40" s="369"/>
    </row>
    <row r="42" spans="2:17" ht="26.25" x14ac:dyDescent="0.4">
      <c r="C42" s="18" t="str">
        <f>IF(O12&gt;0,"NOTE: EMERGENCY LOANS: When the closing balance for a month is negative, an emergency loan is taken out in the following month to cover for it","")</f>
        <v/>
      </c>
      <c r="D42" s="18"/>
      <c r="E42" s="18"/>
      <c r="F42" s="18"/>
      <c r="G42" s="18"/>
      <c r="H42" s="18"/>
      <c r="I42" s="18"/>
      <c r="J42" s="18"/>
      <c r="K42" s="18"/>
      <c r="L42" s="18"/>
      <c r="M42" s="18"/>
      <c r="N42" s="18"/>
      <c r="O42" s="18"/>
      <c r="P42" s="18"/>
    </row>
  </sheetData>
  <sheetProtection algorithmName="SHA-512" hashValue="uw8lCcBDk0pT70QnhQRxVryKTiaHV356cNbhkGoFv6EOAUl8fCw9bmXY64qRNqVUpol9YJ6edrWirc9Sln5foA==" saltValue="E9jEx7VP0nVc5in2DJhN7w==" spinCount="100000" sheet="1" objects="1" scenarios="1" formatColumns="0" formatRows="0" selectLockedCells="1"/>
  <mergeCells count="4">
    <mergeCell ref="B1:O1"/>
    <mergeCell ref="B2:O2"/>
    <mergeCell ref="B3:O3"/>
    <mergeCell ref="B40:O40"/>
  </mergeCells>
  <pageMargins left="0.7" right="0.7" top="0.75" bottom="0.75" header="0.3" footer="0.3"/>
  <pageSetup paperSize="9" orientation="portrait" horizontalDpi="0" verticalDpi="0" r:id="rId1"/>
  <cellWatches>
    <cellWatch r="A1"/>
  </cellWatches>
  <ignoredErrors>
    <ignoredError sqref="O18"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B1:U44"/>
  <sheetViews>
    <sheetView zoomScale="70" zoomScaleNormal="70" workbookViewId="0">
      <selection activeCell="I39" sqref="I39"/>
    </sheetView>
  </sheetViews>
  <sheetFormatPr defaultColWidth="8.85546875" defaultRowHeight="15" x14ac:dyDescent="0.25"/>
  <cols>
    <col min="1" max="1" width="3.7109375" style="1" customWidth="1"/>
    <col min="2" max="2" width="28.28515625" style="1" bestFit="1" customWidth="1"/>
    <col min="3" max="15" width="17" style="1" customWidth="1"/>
    <col min="16" max="16" width="13.28515625" style="1" customWidth="1"/>
    <col min="17" max="22" width="11.7109375" style="1" customWidth="1"/>
    <col min="23" max="16384" width="8.85546875" style="1"/>
  </cols>
  <sheetData>
    <row r="1" spans="2:21" ht="15.75" x14ac:dyDescent="0.25">
      <c r="B1" s="390" t="str">
        <f>IF('Business Setup'!F3="","UNNAMED",'Business Setup'!F3)</f>
        <v>UNNAMED</v>
      </c>
      <c r="C1" s="391"/>
      <c r="D1" s="391"/>
      <c r="E1" s="391"/>
      <c r="F1" s="391"/>
      <c r="G1" s="391"/>
      <c r="H1" s="391"/>
      <c r="I1" s="391"/>
      <c r="J1" s="391"/>
      <c r="K1" s="391"/>
      <c r="L1" s="391"/>
      <c r="M1" s="391"/>
      <c r="N1" s="391"/>
      <c r="O1" s="392"/>
      <c r="P1" s="29"/>
      <c r="Q1" s="29"/>
      <c r="R1" s="29"/>
      <c r="S1" s="29"/>
      <c r="T1" s="29"/>
      <c r="U1" s="29"/>
    </row>
    <row r="2" spans="2:21" ht="15.75" x14ac:dyDescent="0.25">
      <c r="B2" s="397" t="s">
        <v>230</v>
      </c>
      <c r="C2" s="398"/>
      <c r="D2" s="398"/>
      <c r="E2" s="398"/>
      <c r="F2" s="398"/>
      <c r="G2" s="398"/>
      <c r="H2" s="398"/>
      <c r="I2" s="398"/>
      <c r="J2" s="398"/>
      <c r="K2" s="398"/>
      <c r="L2" s="398"/>
      <c r="M2" s="398"/>
      <c r="N2" s="398"/>
      <c r="O2" s="399"/>
      <c r="P2" s="29"/>
      <c r="Q2" s="29"/>
      <c r="R2" s="29"/>
      <c r="S2" s="29"/>
      <c r="T2" s="29"/>
      <c r="U2" s="29"/>
    </row>
    <row r="3" spans="2:21" ht="15.75" x14ac:dyDescent="0.25">
      <c r="B3" s="397" t="s">
        <v>522</v>
      </c>
      <c r="C3" s="398"/>
      <c r="D3" s="398"/>
      <c r="E3" s="398"/>
      <c r="F3" s="398"/>
      <c r="G3" s="398"/>
      <c r="H3" s="398"/>
      <c r="I3" s="398"/>
      <c r="J3" s="398"/>
      <c r="K3" s="398"/>
      <c r="L3" s="398"/>
      <c r="M3" s="398"/>
      <c r="N3" s="398"/>
      <c r="O3" s="399"/>
      <c r="P3" s="29"/>
      <c r="Q3" s="29"/>
      <c r="R3" s="29"/>
      <c r="S3" s="29"/>
      <c r="T3" s="29"/>
      <c r="U3" s="29"/>
    </row>
    <row r="4" spans="2:21" x14ac:dyDescent="0.25">
      <c r="B4" s="122"/>
      <c r="C4" s="19" t="s">
        <v>103</v>
      </c>
      <c r="D4" s="19" t="s">
        <v>104</v>
      </c>
      <c r="E4" s="19" t="s">
        <v>105</v>
      </c>
      <c r="F4" s="19" t="s">
        <v>107</v>
      </c>
      <c r="G4" s="19" t="s">
        <v>5</v>
      </c>
      <c r="H4" s="19" t="s">
        <v>108</v>
      </c>
      <c r="I4" s="19" t="s">
        <v>109</v>
      </c>
      <c r="J4" s="19" t="s">
        <v>110</v>
      </c>
      <c r="K4" s="19" t="s">
        <v>111</v>
      </c>
      <c r="L4" s="19" t="s">
        <v>112</v>
      </c>
      <c r="M4" s="19" t="s">
        <v>113</v>
      </c>
      <c r="N4" s="19" t="s">
        <v>114</v>
      </c>
      <c r="O4" s="19" t="s">
        <v>216</v>
      </c>
      <c r="P4" s="7"/>
      <c r="Q4" s="7"/>
      <c r="R4" s="7"/>
      <c r="S4" s="7"/>
      <c r="T4" s="7"/>
    </row>
    <row r="5" spans="2:21" x14ac:dyDescent="0.25">
      <c r="B5" s="127"/>
      <c r="C5" s="128" t="s">
        <v>38</v>
      </c>
      <c r="D5" s="128" t="s">
        <v>38</v>
      </c>
      <c r="E5" s="128" t="s">
        <v>38</v>
      </c>
      <c r="F5" s="128" t="s">
        <v>38</v>
      </c>
      <c r="G5" s="128" t="s">
        <v>38</v>
      </c>
      <c r="H5" s="128" t="s">
        <v>38</v>
      </c>
      <c r="I5" s="128"/>
      <c r="J5" s="128"/>
      <c r="K5" s="128"/>
      <c r="L5" s="128"/>
      <c r="M5" s="128"/>
      <c r="N5" s="128"/>
      <c r="O5" s="128" t="s">
        <v>38</v>
      </c>
      <c r="P5" s="7"/>
      <c r="Q5" s="7"/>
      <c r="R5" s="7"/>
      <c r="S5" s="7"/>
      <c r="T5" s="7"/>
    </row>
    <row r="6" spans="2:21" x14ac:dyDescent="0.25">
      <c r="B6" s="96" t="s">
        <v>214</v>
      </c>
      <c r="C6" s="95">
        <f>C30+C18</f>
        <v>30429.15</v>
      </c>
      <c r="D6" s="95">
        <f t="shared" ref="D6:N6" si="0">C9</f>
        <v>32524.199999999983</v>
      </c>
      <c r="E6" s="95">
        <f t="shared" si="0"/>
        <v>0</v>
      </c>
      <c r="F6" s="95">
        <f t="shared" si="0"/>
        <v>0</v>
      </c>
      <c r="G6" s="95">
        <f t="shared" si="0"/>
        <v>0</v>
      </c>
      <c r="H6" s="95">
        <f t="shared" si="0"/>
        <v>0</v>
      </c>
      <c r="I6" s="95">
        <f t="shared" si="0"/>
        <v>0</v>
      </c>
      <c r="J6" s="95">
        <f t="shared" si="0"/>
        <v>0</v>
      </c>
      <c r="K6" s="95">
        <f t="shared" si="0"/>
        <v>0</v>
      </c>
      <c r="L6" s="95">
        <f t="shared" si="0"/>
        <v>0</v>
      </c>
      <c r="M6" s="95">
        <f t="shared" si="0"/>
        <v>0</v>
      </c>
      <c r="N6" s="95">
        <f t="shared" si="0"/>
        <v>0</v>
      </c>
      <c r="O6" s="96">
        <f>C6</f>
        <v>30429.15</v>
      </c>
      <c r="P6" s="16"/>
      <c r="Q6" s="16"/>
      <c r="R6" s="16"/>
      <c r="S6" s="16"/>
      <c r="T6" s="16"/>
    </row>
    <row r="7" spans="2:21" x14ac:dyDescent="0.25">
      <c r="B7" s="281" t="s">
        <v>212</v>
      </c>
      <c r="C7" s="105">
        <f>C31+C19</f>
        <v>123811.65</v>
      </c>
      <c r="D7" s="105">
        <f t="shared" ref="D7:N7" si="1">D31+D19</f>
        <v>97572.6</v>
      </c>
      <c r="E7" s="105">
        <f t="shared" si="1"/>
        <v>0</v>
      </c>
      <c r="F7" s="105">
        <f t="shared" si="1"/>
        <v>0</v>
      </c>
      <c r="G7" s="105">
        <f t="shared" si="1"/>
        <v>0</v>
      </c>
      <c r="H7" s="105">
        <f t="shared" si="1"/>
        <v>0</v>
      </c>
      <c r="I7" s="105">
        <f t="shared" si="1"/>
        <v>0</v>
      </c>
      <c r="J7" s="105">
        <f t="shared" si="1"/>
        <v>0</v>
      </c>
      <c r="K7" s="105">
        <f t="shared" si="1"/>
        <v>0</v>
      </c>
      <c r="L7" s="105">
        <f t="shared" si="1"/>
        <v>0</v>
      </c>
      <c r="M7" s="105">
        <f t="shared" si="1"/>
        <v>0</v>
      </c>
      <c r="N7" s="105">
        <f t="shared" si="1"/>
        <v>0</v>
      </c>
      <c r="O7" s="106">
        <f>SUM(C7:N7)</f>
        <v>221384.25</v>
      </c>
      <c r="P7" s="16"/>
      <c r="Q7" s="16"/>
      <c r="R7" s="16"/>
      <c r="S7" s="16"/>
      <c r="T7" s="16"/>
    </row>
    <row r="8" spans="2:21" x14ac:dyDescent="0.25">
      <c r="B8" s="282" t="s">
        <v>215</v>
      </c>
      <c r="C8" s="95">
        <f>C32+C20</f>
        <v>121716.6</v>
      </c>
      <c r="D8" s="95">
        <f t="shared" ref="D8:N8" si="2">D32+D20</f>
        <v>130096.8</v>
      </c>
      <c r="E8" s="95">
        <f t="shared" si="2"/>
        <v>0</v>
      </c>
      <c r="F8" s="95">
        <f t="shared" si="2"/>
        <v>0</v>
      </c>
      <c r="G8" s="95">
        <f t="shared" si="2"/>
        <v>0</v>
      </c>
      <c r="H8" s="95">
        <f t="shared" si="2"/>
        <v>0</v>
      </c>
      <c r="I8" s="95">
        <f t="shared" si="2"/>
        <v>0</v>
      </c>
      <c r="J8" s="95">
        <f t="shared" si="2"/>
        <v>0</v>
      </c>
      <c r="K8" s="95">
        <f t="shared" si="2"/>
        <v>0</v>
      </c>
      <c r="L8" s="95">
        <f t="shared" si="2"/>
        <v>0</v>
      </c>
      <c r="M8" s="95">
        <f t="shared" si="2"/>
        <v>0</v>
      </c>
      <c r="N8" s="95">
        <f t="shared" si="2"/>
        <v>0</v>
      </c>
      <c r="O8" s="96">
        <f>SUM(C8:N8)</f>
        <v>251813.40000000002</v>
      </c>
      <c r="P8" s="16"/>
      <c r="Q8" s="16"/>
      <c r="R8" s="16"/>
      <c r="S8" s="16"/>
      <c r="T8" s="16"/>
    </row>
    <row r="9" spans="2:21" x14ac:dyDescent="0.25">
      <c r="B9" s="281" t="s">
        <v>217</v>
      </c>
      <c r="C9" s="105">
        <f>C6+C7-C8</f>
        <v>32524.199999999983</v>
      </c>
      <c r="D9" s="105">
        <f t="shared" ref="D9:N9" si="3">D6+D7-D8</f>
        <v>0</v>
      </c>
      <c r="E9" s="105">
        <f t="shared" si="3"/>
        <v>0</v>
      </c>
      <c r="F9" s="105">
        <f t="shared" si="3"/>
        <v>0</v>
      </c>
      <c r="G9" s="105">
        <f t="shared" si="3"/>
        <v>0</v>
      </c>
      <c r="H9" s="105">
        <f t="shared" si="3"/>
        <v>0</v>
      </c>
      <c r="I9" s="105">
        <f t="shared" si="3"/>
        <v>0</v>
      </c>
      <c r="J9" s="105">
        <f t="shared" si="3"/>
        <v>0</v>
      </c>
      <c r="K9" s="105">
        <f t="shared" si="3"/>
        <v>0</v>
      </c>
      <c r="L9" s="105">
        <f t="shared" si="3"/>
        <v>0</v>
      </c>
      <c r="M9" s="105">
        <f t="shared" si="3"/>
        <v>0</v>
      </c>
      <c r="N9" s="105">
        <f t="shared" si="3"/>
        <v>0</v>
      </c>
      <c r="O9" s="106">
        <f>N9</f>
        <v>0</v>
      </c>
      <c r="P9" s="16"/>
      <c r="Q9" s="16"/>
      <c r="R9" s="16"/>
      <c r="S9" s="16"/>
      <c r="T9" s="16"/>
    </row>
    <row r="10" spans="2:21" x14ac:dyDescent="0.25">
      <c r="B10" s="283"/>
      <c r="C10" s="98"/>
      <c r="D10" s="98"/>
      <c r="E10" s="98"/>
      <c r="F10" s="98"/>
      <c r="G10" s="98"/>
      <c r="H10" s="98"/>
      <c r="I10" s="98"/>
      <c r="J10" s="98"/>
      <c r="K10" s="98"/>
      <c r="L10" s="98"/>
      <c r="M10" s="98"/>
      <c r="N10" s="98"/>
      <c r="O10" s="98"/>
    </row>
    <row r="11" spans="2:21" ht="18.75" x14ac:dyDescent="0.3">
      <c r="B11" s="32"/>
      <c r="C11" s="32"/>
      <c r="D11" s="32"/>
      <c r="E11" s="32"/>
      <c r="F11" s="32"/>
      <c r="G11" s="32"/>
      <c r="H11" s="32"/>
      <c r="I11" s="32"/>
      <c r="J11" s="32"/>
      <c r="K11" s="32"/>
      <c r="L11" s="434" t="s">
        <v>694</v>
      </c>
      <c r="M11" s="434"/>
      <c r="N11" s="434"/>
      <c r="O11" s="284">
        <f>ROUND(AVERAGE(C9:N9),2)</f>
        <v>2710.35</v>
      </c>
    </row>
    <row r="12" spans="2:21" x14ac:dyDescent="0.25">
      <c r="B12" s="32"/>
      <c r="C12" s="32"/>
      <c r="D12" s="32"/>
      <c r="E12" s="32"/>
      <c r="F12" s="32"/>
      <c r="G12" s="32"/>
      <c r="H12" s="32"/>
      <c r="I12" s="32"/>
      <c r="J12" s="32"/>
      <c r="K12" s="32"/>
      <c r="L12" s="32"/>
      <c r="M12" s="32"/>
      <c r="N12" s="32"/>
      <c r="O12" s="32"/>
    </row>
    <row r="13" spans="2:21" ht="15.75" x14ac:dyDescent="0.25">
      <c r="B13" s="435" t="str">
        <f>IF('Business Setup'!F3="","UNNAMED",'Business Setup'!F3)</f>
        <v>UNNAMED</v>
      </c>
      <c r="C13" s="436"/>
      <c r="D13" s="436"/>
      <c r="E13" s="436"/>
      <c r="F13" s="436"/>
      <c r="G13" s="436"/>
      <c r="H13" s="436"/>
      <c r="I13" s="436"/>
      <c r="J13" s="436"/>
      <c r="K13" s="436"/>
      <c r="L13" s="436"/>
      <c r="M13" s="436"/>
      <c r="N13" s="436"/>
      <c r="O13" s="437"/>
      <c r="P13" s="29"/>
      <c r="Q13" s="29"/>
      <c r="R13" s="29"/>
      <c r="S13" s="29"/>
      <c r="T13" s="29"/>
      <c r="U13" s="29"/>
    </row>
    <row r="14" spans="2:21" ht="15.75" x14ac:dyDescent="0.25">
      <c r="B14" s="431" t="str">
        <f>'(HIDE) Data Validation'!A7&amp;" Monthly Inventory Report"</f>
        <v>Burgers Monthly Inventory Report</v>
      </c>
      <c r="C14" s="432"/>
      <c r="D14" s="432"/>
      <c r="E14" s="432"/>
      <c r="F14" s="432"/>
      <c r="G14" s="432"/>
      <c r="H14" s="432"/>
      <c r="I14" s="432"/>
      <c r="J14" s="432"/>
      <c r="K14" s="432"/>
      <c r="L14" s="432"/>
      <c r="M14" s="432"/>
      <c r="N14" s="432"/>
      <c r="O14" s="433"/>
      <c r="P14" s="29"/>
      <c r="Q14" s="29"/>
      <c r="R14" s="29"/>
      <c r="S14" s="29"/>
      <c r="T14" s="29"/>
      <c r="U14" s="29"/>
    </row>
    <row r="15" spans="2:21" ht="15.75" x14ac:dyDescent="0.25">
      <c r="B15" s="431" t="s">
        <v>522</v>
      </c>
      <c r="C15" s="432"/>
      <c r="D15" s="432"/>
      <c r="E15" s="432"/>
      <c r="F15" s="432"/>
      <c r="G15" s="432"/>
      <c r="H15" s="432"/>
      <c r="I15" s="432"/>
      <c r="J15" s="432"/>
      <c r="K15" s="432"/>
      <c r="L15" s="432"/>
      <c r="M15" s="432"/>
      <c r="N15" s="432"/>
      <c r="O15" s="433"/>
      <c r="P15" s="29"/>
      <c r="Q15" s="29"/>
      <c r="R15" s="29"/>
      <c r="S15" s="29"/>
      <c r="T15" s="29"/>
      <c r="U15" s="29"/>
    </row>
    <row r="16" spans="2:21" x14ac:dyDescent="0.25">
      <c r="B16" s="95"/>
      <c r="C16" s="188" t="s">
        <v>103</v>
      </c>
      <c r="D16" s="188" t="s">
        <v>104</v>
      </c>
      <c r="E16" s="188" t="s">
        <v>105</v>
      </c>
      <c r="F16" s="188" t="s">
        <v>107</v>
      </c>
      <c r="G16" s="188" t="s">
        <v>5</v>
      </c>
      <c r="H16" s="188" t="s">
        <v>108</v>
      </c>
      <c r="I16" s="188" t="s">
        <v>109</v>
      </c>
      <c r="J16" s="188" t="s">
        <v>110</v>
      </c>
      <c r="K16" s="188" t="s">
        <v>111</v>
      </c>
      <c r="L16" s="188" t="s">
        <v>112</v>
      </c>
      <c r="M16" s="188" t="s">
        <v>113</v>
      </c>
      <c r="N16" s="188" t="s">
        <v>114</v>
      </c>
      <c r="O16" s="188" t="s">
        <v>216</v>
      </c>
      <c r="P16" s="7"/>
      <c r="Q16" s="7"/>
      <c r="R16" s="7"/>
      <c r="S16" s="7"/>
      <c r="T16" s="7"/>
    </row>
    <row r="17" spans="2:21" x14ac:dyDescent="0.25">
      <c r="B17" s="285"/>
      <c r="C17" s="114" t="s">
        <v>38</v>
      </c>
      <c r="D17" s="114" t="s">
        <v>38</v>
      </c>
      <c r="E17" s="114" t="s">
        <v>38</v>
      </c>
      <c r="F17" s="114" t="s">
        <v>38</v>
      </c>
      <c r="G17" s="114" t="s">
        <v>38</v>
      </c>
      <c r="H17" s="114" t="s">
        <v>38</v>
      </c>
      <c r="I17" s="114"/>
      <c r="J17" s="114"/>
      <c r="K17" s="114"/>
      <c r="L17" s="114"/>
      <c r="M17" s="114"/>
      <c r="N17" s="114"/>
      <c r="O17" s="114" t="s">
        <v>38</v>
      </c>
      <c r="P17" s="7"/>
      <c r="Q17" s="7"/>
      <c r="R17" s="7"/>
      <c r="S17" s="7"/>
      <c r="T17" s="7"/>
    </row>
    <row r="18" spans="2:21" x14ac:dyDescent="0.25">
      <c r="B18" s="96" t="s">
        <v>214</v>
      </c>
      <c r="C18" s="95">
        <f>'2019 Inventory Rpt'!N23</f>
        <v>25841</v>
      </c>
      <c r="D18" s="95">
        <f t="shared" ref="D18:N18" si="4">C21</f>
        <v>27620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6">
        <f>C18</f>
        <v>25841</v>
      </c>
      <c r="P18" s="16"/>
      <c r="Q18" s="16"/>
      <c r="R18" s="16"/>
      <c r="S18" s="16"/>
      <c r="T18" s="16"/>
    </row>
    <row r="19" spans="2:21" x14ac:dyDescent="0.25">
      <c r="B19" s="281" t="s">
        <v>212</v>
      </c>
      <c r="C19" s="105">
        <f>'(HIDE) Data Validation'!AL19</f>
        <v>105143</v>
      </c>
      <c r="D19" s="105">
        <f>'(HIDE) Data Validation'!AM19</f>
        <v>82860</v>
      </c>
      <c r="E19" s="105">
        <f>'(HIDE) Data Validation'!AN19</f>
        <v>0</v>
      </c>
      <c r="F19" s="105">
        <f>'(HIDE) Data Validation'!AO19</f>
        <v>0</v>
      </c>
      <c r="G19" s="105">
        <f>'(HIDE) Data Validation'!AP19</f>
        <v>0</v>
      </c>
      <c r="H19" s="105">
        <f>'(HIDE) Data Validation'!AQ19</f>
        <v>0</v>
      </c>
      <c r="I19" s="105">
        <f>'(HIDE) Data Validation'!BG17</f>
        <v>0</v>
      </c>
      <c r="J19" s="105">
        <f>'(HIDE) Data Validation'!BH17</f>
        <v>0</v>
      </c>
      <c r="K19" s="105">
        <f>'(HIDE) Data Validation'!BI17</f>
        <v>0</v>
      </c>
      <c r="L19" s="105">
        <f>'(HIDE) Data Validation'!BJ17</f>
        <v>0</v>
      </c>
      <c r="M19" s="105">
        <f>'(HIDE) Data Validation'!BK17</f>
        <v>0</v>
      </c>
      <c r="N19" s="105">
        <f>'(HIDE) Data Validation'!BL17</f>
        <v>0</v>
      </c>
      <c r="O19" s="106">
        <f>SUM(C19:N19)</f>
        <v>188003</v>
      </c>
      <c r="P19" s="16"/>
      <c r="Q19" s="16"/>
      <c r="R19" s="16"/>
      <c r="S19" s="16"/>
      <c r="T19" s="16"/>
    </row>
    <row r="20" spans="2:21" x14ac:dyDescent="0.25">
      <c r="B20" s="282" t="s">
        <v>215</v>
      </c>
      <c r="C20" s="95">
        <f>'(HIDE) Data Validation'!AL18</f>
        <v>103364</v>
      </c>
      <c r="D20" s="95">
        <f>'(HIDE) Data Validation'!AM18</f>
        <v>110480</v>
      </c>
      <c r="E20" s="95">
        <f>'(HIDE) Data Validation'!AN18</f>
        <v>0</v>
      </c>
      <c r="F20" s="95">
        <f>'(HIDE) Data Validation'!AO18</f>
        <v>0</v>
      </c>
      <c r="G20" s="95">
        <f>'(HIDE) Data Validation'!AP18</f>
        <v>0</v>
      </c>
      <c r="H20" s="95">
        <f>'(HIDE) Data Validation'!AQ18</f>
        <v>0</v>
      </c>
      <c r="I20" s="95">
        <f>'(HIDE) Data Validation'!BG16</f>
        <v>0</v>
      </c>
      <c r="J20" s="95">
        <f>'(HIDE) Data Validation'!BH16</f>
        <v>0</v>
      </c>
      <c r="K20" s="95">
        <f>'(HIDE) Data Validation'!BI16</f>
        <v>0</v>
      </c>
      <c r="L20" s="95">
        <f>'(HIDE) Data Validation'!BJ16</f>
        <v>0</v>
      </c>
      <c r="M20" s="95">
        <f>'(HIDE) Data Validation'!BK16</f>
        <v>0</v>
      </c>
      <c r="N20" s="95">
        <f>'(HIDE) Data Validation'!BL16</f>
        <v>0</v>
      </c>
      <c r="O20" s="96">
        <f>SUM(C20:N20)</f>
        <v>213844</v>
      </c>
      <c r="P20" s="16"/>
      <c r="Q20" s="16"/>
      <c r="R20" s="16"/>
      <c r="S20" s="16"/>
      <c r="T20" s="16"/>
    </row>
    <row r="21" spans="2:21" x14ac:dyDescent="0.25">
      <c r="B21" s="281" t="s">
        <v>217</v>
      </c>
      <c r="C21" s="105">
        <f>C18+C19-C20</f>
        <v>27620</v>
      </c>
      <c r="D21" s="105">
        <f t="shared" ref="D21:N21" si="5">D18+D19-D20</f>
        <v>0</v>
      </c>
      <c r="E21" s="105">
        <f t="shared" si="5"/>
        <v>0</v>
      </c>
      <c r="F21" s="105">
        <f t="shared" si="5"/>
        <v>0</v>
      </c>
      <c r="G21" s="105">
        <f t="shared" si="5"/>
        <v>0</v>
      </c>
      <c r="H21" s="105">
        <f t="shared" si="5"/>
        <v>0</v>
      </c>
      <c r="I21" s="105">
        <f t="shared" si="5"/>
        <v>0</v>
      </c>
      <c r="J21" s="105">
        <f t="shared" si="5"/>
        <v>0</v>
      </c>
      <c r="K21" s="105">
        <f t="shared" si="5"/>
        <v>0</v>
      </c>
      <c r="L21" s="105">
        <f t="shared" si="5"/>
        <v>0</v>
      </c>
      <c r="M21" s="105">
        <f t="shared" si="5"/>
        <v>0</v>
      </c>
      <c r="N21" s="105">
        <f t="shared" si="5"/>
        <v>0</v>
      </c>
      <c r="O21" s="106">
        <f>N21</f>
        <v>0</v>
      </c>
      <c r="P21" s="16"/>
      <c r="Q21" s="16"/>
      <c r="R21" s="16"/>
      <c r="S21" s="16"/>
      <c r="T21" s="16"/>
    </row>
    <row r="22" spans="2:21" x14ac:dyDescent="0.25">
      <c r="B22" s="283"/>
      <c r="C22" s="98"/>
      <c r="D22" s="98"/>
      <c r="E22" s="98"/>
      <c r="F22" s="98"/>
      <c r="G22" s="98"/>
      <c r="H22" s="98"/>
      <c r="I22" s="98"/>
      <c r="J22" s="98"/>
      <c r="K22" s="98"/>
      <c r="L22" s="98"/>
      <c r="M22" s="98"/>
      <c r="N22" s="98"/>
      <c r="O22" s="98"/>
    </row>
    <row r="23" spans="2:21" ht="18.75" x14ac:dyDescent="0.3">
      <c r="B23" s="32"/>
      <c r="C23" s="32"/>
      <c r="D23" s="32"/>
      <c r="E23" s="32"/>
      <c r="F23" s="32"/>
      <c r="G23" s="32"/>
      <c r="H23" s="32"/>
      <c r="I23" s="32"/>
      <c r="J23" s="32"/>
      <c r="K23" s="32"/>
      <c r="L23" s="434" t="str">
        <f>"Average "&amp;'(HIDE) Data Validation'!A7&amp;" Inventory Balance"</f>
        <v>Average Burgers Inventory Balance</v>
      </c>
      <c r="M23" s="434"/>
      <c r="N23" s="434"/>
      <c r="O23" s="284">
        <f>ROUND(AVERAGE(C21:N21),2)</f>
        <v>2301.67</v>
      </c>
    </row>
    <row r="24" spans="2:21" ht="15.75" x14ac:dyDescent="0.25">
      <c r="B24" s="32"/>
      <c r="C24" s="32"/>
      <c r="D24" s="32"/>
      <c r="E24" s="32"/>
      <c r="F24" s="32"/>
      <c r="G24" s="32"/>
      <c r="H24" s="32"/>
      <c r="I24" s="32"/>
      <c r="J24" s="32"/>
      <c r="K24" s="32"/>
      <c r="L24" s="32"/>
      <c r="M24" s="32"/>
      <c r="N24" s="32"/>
      <c r="O24" s="32"/>
      <c r="R24" s="66"/>
      <c r="S24" s="66"/>
      <c r="T24" s="66"/>
      <c r="U24" s="16"/>
    </row>
    <row r="25" spans="2:21" ht="15.75" x14ac:dyDescent="0.25">
      <c r="B25" s="435" t="str">
        <f>IF('Business Setup'!F3="","UNNAMED",'Business Setup'!F3)</f>
        <v>UNNAMED</v>
      </c>
      <c r="C25" s="436"/>
      <c r="D25" s="436"/>
      <c r="E25" s="436"/>
      <c r="F25" s="436"/>
      <c r="G25" s="436"/>
      <c r="H25" s="436"/>
      <c r="I25" s="436"/>
      <c r="J25" s="436"/>
      <c r="K25" s="436"/>
      <c r="L25" s="436"/>
      <c r="M25" s="436"/>
      <c r="N25" s="436"/>
      <c r="O25" s="437"/>
    </row>
    <row r="26" spans="2:21" ht="15.75" x14ac:dyDescent="0.25">
      <c r="B26" s="431" t="str">
        <f>'(HIDE) Data Validation'!B42&amp;" Monthly Inventory Report"</f>
        <v>Hot Chips Monthly Inventory Report</v>
      </c>
      <c r="C26" s="432"/>
      <c r="D26" s="432"/>
      <c r="E26" s="432"/>
      <c r="F26" s="432"/>
      <c r="G26" s="432"/>
      <c r="H26" s="432"/>
      <c r="I26" s="432"/>
      <c r="J26" s="432"/>
      <c r="K26" s="432"/>
      <c r="L26" s="432"/>
      <c r="M26" s="432"/>
      <c r="N26" s="432"/>
      <c r="O26" s="433"/>
    </row>
    <row r="27" spans="2:21" ht="15.75" x14ac:dyDescent="0.25">
      <c r="B27" s="431" t="s">
        <v>522</v>
      </c>
      <c r="C27" s="432"/>
      <c r="D27" s="432"/>
      <c r="E27" s="432"/>
      <c r="F27" s="432"/>
      <c r="G27" s="432"/>
      <c r="H27" s="432"/>
      <c r="I27" s="432"/>
      <c r="J27" s="432"/>
      <c r="K27" s="432"/>
      <c r="L27" s="432"/>
      <c r="M27" s="432"/>
      <c r="N27" s="432"/>
      <c r="O27" s="433"/>
    </row>
    <row r="28" spans="2:21" x14ac:dyDescent="0.25">
      <c r="B28" s="95"/>
      <c r="C28" s="188" t="s">
        <v>103</v>
      </c>
      <c r="D28" s="188" t="s">
        <v>104</v>
      </c>
      <c r="E28" s="188" t="s">
        <v>105</v>
      </c>
      <c r="F28" s="188" t="s">
        <v>107</v>
      </c>
      <c r="G28" s="188" t="s">
        <v>5</v>
      </c>
      <c r="H28" s="188" t="s">
        <v>108</v>
      </c>
      <c r="I28" s="188" t="s">
        <v>109</v>
      </c>
      <c r="J28" s="188" t="s">
        <v>110</v>
      </c>
      <c r="K28" s="188" t="s">
        <v>111</v>
      </c>
      <c r="L28" s="188" t="s">
        <v>112</v>
      </c>
      <c r="M28" s="188" t="s">
        <v>113</v>
      </c>
      <c r="N28" s="188" t="s">
        <v>114</v>
      </c>
      <c r="O28" s="188" t="s">
        <v>216</v>
      </c>
    </row>
    <row r="29" spans="2:21" x14ac:dyDescent="0.25">
      <c r="B29" s="285"/>
      <c r="C29" s="114" t="s">
        <v>38</v>
      </c>
      <c r="D29" s="114" t="s">
        <v>38</v>
      </c>
      <c r="E29" s="114" t="s">
        <v>38</v>
      </c>
      <c r="F29" s="114" t="s">
        <v>38</v>
      </c>
      <c r="G29" s="114" t="s">
        <v>38</v>
      </c>
      <c r="H29" s="114" t="s">
        <v>38</v>
      </c>
      <c r="I29" s="114"/>
      <c r="J29" s="114"/>
      <c r="K29" s="114"/>
      <c r="L29" s="114"/>
      <c r="M29" s="114"/>
      <c r="N29" s="114"/>
      <c r="O29" s="114" t="s">
        <v>38</v>
      </c>
    </row>
    <row r="30" spans="2:21" x14ac:dyDescent="0.25">
      <c r="B30" s="96" t="s">
        <v>214</v>
      </c>
      <c r="C30" s="95">
        <f>'2019 Inventory Rpt'!I34</f>
        <v>4588.1500000000015</v>
      </c>
      <c r="D30" s="95">
        <f>C33</f>
        <v>4904.2000000000007</v>
      </c>
      <c r="E30" s="95">
        <f>D33</f>
        <v>0</v>
      </c>
      <c r="F30" s="95">
        <f>E33</f>
        <v>0</v>
      </c>
      <c r="G30" s="95">
        <f>F33</f>
        <v>0</v>
      </c>
      <c r="H30" s="95">
        <f>G33</f>
        <v>0</v>
      </c>
      <c r="I30" s="95">
        <f t="shared" ref="I30:N30" si="6">H33</f>
        <v>0</v>
      </c>
      <c r="J30" s="95">
        <f t="shared" si="6"/>
        <v>0</v>
      </c>
      <c r="K30" s="95">
        <f t="shared" si="6"/>
        <v>0</v>
      </c>
      <c r="L30" s="95">
        <f t="shared" si="6"/>
        <v>0</v>
      </c>
      <c r="M30" s="95">
        <f t="shared" si="6"/>
        <v>0</v>
      </c>
      <c r="N30" s="95">
        <f t="shared" si="6"/>
        <v>0</v>
      </c>
      <c r="O30" s="96">
        <f>C30</f>
        <v>4588.1500000000015</v>
      </c>
    </row>
    <row r="31" spans="2:21" x14ac:dyDescent="0.25">
      <c r="B31" s="281" t="s">
        <v>212</v>
      </c>
      <c r="C31" s="105">
        <f>'(HIDE) Data Validation'!AL40</f>
        <v>18668.649999999998</v>
      </c>
      <c r="D31" s="105">
        <f>'(HIDE) Data Validation'!AM40</f>
        <v>14712.599999999999</v>
      </c>
      <c r="E31" s="105">
        <f>'(HIDE) Data Validation'!AN40</f>
        <v>0</v>
      </c>
      <c r="F31" s="105">
        <f>'(HIDE) Data Validation'!AO40</f>
        <v>0</v>
      </c>
      <c r="G31" s="105">
        <f>'(HIDE) Data Validation'!AP40</f>
        <v>0</v>
      </c>
      <c r="H31" s="105">
        <f>'(HIDE) Data Validation'!AQ40</f>
        <v>0</v>
      </c>
      <c r="I31" s="105">
        <f>'(HIDE) Data Validation'!BG40</f>
        <v>0</v>
      </c>
      <c r="J31" s="105">
        <f>'(HIDE) Data Validation'!BH40</f>
        <v>0</v>
      </c>
      <c r="K31" s="105">
        <f>'(HIDE) Data Validation'!BI40</f>
        <v>0</v>
      </c>
      <c r="L31" s="105">
        <f>'(HIDE) Data Validation'!BJ40</f>
        <v>0</v>
      </c>
      <c r="M31" s="105">
        <f>'(HIDE) Data Validation'!BK40</f>
        <v>0</v>
      </c>
      <c r="N31" s="105">
        <f>'(HIDE) Data Validation'!BL40</f>
        <v>0</v>
      </c>
      <c r="O31" s="106">
        <f>SUM(C31:N31)</f>
        <v>33381.25</v>
      </c>
    </row>
    <row r="32" spans="2:21" x14ac:dyDescent="0.25">
      <c r="B32" s="282" t="s">
        <v>215</v>
      </c>
      <c r="C32" s="95">
        <f>'(HIDE) Data Validation'!AL30</f>
        <v>18352.599999999999</v>
      </c>
      <c r="D32" s="95">
        <f>'(HIDE) Data Validation'!AM30</f>
        <v>19616.8</v>
      </c>
      <c r="E32" s="95">
        <f>'(HIDE) Data Validation'!AN31</f>
        <v>0</v>
      </c>
      <c r="F32" s="95">
        <f>'(HIDE) Data Validation'!AO31</f>
        <v>0</v>
      </c>
      <c r="G32" s="95">
        <f>'(HIDE) Data Validation'!AP31</f>
        <v>0</v>
      </c>
      <c r="H32" s="95">
        <f>'(HIDE) Data Validation'!AQ31</f>
        <v>0</v>
      </c>
      <c r="I32" s="95">
        <f>'(HIDE) Data Validation'!BG31</f>
        <v>0</v>
      </c>
      <c r="J32" s="95">
        <f>'(HIDE) Data Validation'!BH31</f>
        <v>0</v>
      </c>
      <c r="K32" s="95">
        <f>'(HIDE) Data Validation'!BI31</f>
        <v>0</v>
      </c>
      <c r="L32" s="95">
        <f>'(HIDE) Data Validation'!BJ31</f>
        <v>0</v>
      </c>
      <c r="M32" s="95">
        <f>'(HIDE) Data Validation'!BK31</f>
        <v>0</v>
      </c>
      <c r="N32" s="95">
        <f>'(HIDE) Data Validation'!BL31</f>
        <v>0</v>
      </c>
      <c r="O32" s="96">
        <f>SUM(C32:N32)</f>
        <v>37969.399999999994</v>
      </c>
    </row>
    <row r="33" spans="2:15" x14ac:dyDescent="0.25">
      <c r="B33" s="281" t="s">
        <v>217</v>
      </c>
      <c r="C33" s="105">
        <f>C30+C31-C32</f>
        <v>4904.2000000000007</v>
      </c>
      <c r="D33" s="105">
        <f t="shared" ref="D33:N33" si="7">D30+D31-D32</f>
        <v>0</v>
      </c>
      <c r="E33" s="105">
        <f t="shared" si="7"/>
        <v>0</v>
      </c>
      <c r="F33" s="105">
        <f t="shared" si="7"/>
        <v>0</v>
      </c>
      <c r="G33" s="105">
        <f t="shared" si="7"/>
        <v>0</v>
      </c>
      <c r="H33" s="105">
        <f t="shared" si="7"/>
        <v>0</v>
      </c>
      <c r="I33" s="105">
        <f t="shared" si="7"/>
        <v>0</v>
      </c>
      <c r="J33" s="105">
        <f t="shared" si="7"/>
        <v>0</v>
      </c>
      <c r="K33" s="105">
        <f t="shared" si="7"/>
        <v>0</v>
      </c>
      <c r="L33" s="105">
        <f t="shared" si="7"/>
        <v>0</v>
      </c>
      <c r="M33" s="105">
        <f t="shared" si="7"/>
        <v>0</v>
      </c>
      <c r="N33" s="105">
        <f t="shared" si="7"/>
        <v>0</v>
      </c>
      <c r="O33" s="106">
        <f>N33</f>
        <v>0</v>
      </c>
    </row>
    <row r="34" spans="2:15" x14ac:dyDescent="0.25">
      <c r="B34" s="283"/>
      <c r="C34" s="98"/>
      <c r="D34" s="98"/>
      <c r="E34" s="98"/>
      <c r="F34" s="98"/>
      <c r="G34" s="98"/>
      <c r="H34" s="98"/>
      <c r="I34" s="98"/>
      <c r="J34" s="98"/>
      <c r="K34" s="98"/>
      <c r="L34" s="98"/>
      <c r="M34" s="98"/>
      <c r="N34" s="98"/>
      <c r="O34" s="98"/>
    </row>
    <row r="35" spans="2:15" ht="18.75" x14ac:dyDescent="0.3">
      <c r="B35" s="32"/>
      <c r="C35" s="32"/>
      <c r="D35" s="32"/>
      <c r="E35" s="32"/>
      <c r="F35" s="32"/>
      <c r="G35" s="32"/>
      <c r="H35" s="32"/>
      <c r="I35" s="32"/>
      <c r="J35" s="32"/>
      <c r="K35" s="32"/>
      <c r="L35" s="434" t="str">
        <f>"Average "&amp;'(HIDE) Data Validation'!B42&amp;" Inventory Balance"</f>
        <v>Average Hot Chips Inventory Balance</v>
      </c>
      <c r="M35" s="434"/>
      <c r="N35" s="434"/>
      <c r="O35" s="284">
        <f>ROUND(AVERAGE(C33:N33),2)</f>
        <v>408.68</v>
      </c>
    </row>
    <row r="38" spans="2:15" x14ac:dyDescent="0.25">
      <c r="B38" s="387" t="str">
        <f>IF('(HIDE) Data Validation'!B26=0,"","YOU HAVE NOT YET RAISED ENOUGH CAPITAL. YOU STILL NEED $"&amp;TEXT('(HIDE) Data Validation'!B26,"#,##0;;@"))</f>
        <v>YOU HAVE NOT YET RAISED ENOUGH CAPITAL. YOU STILL NEED $275,865</v>
      </c>
      <c r="C38" s="387"/>
      <c r="D38" s="387"/>
      <c r="E38" s="387"/>
      <c r="F38" s="387"/>
      <c r="G38" s="387"/>
    </row>
    <row r="39" spans="2:15" x14ac:dyDescent="0.25">
      <c r="B39" s="387"/>
      <c r="C39" s="387"/>
      <c r="D39" s="387"/>
      <c r="E39" s="387"/>
      <c r="F39" s="387"/>
      <c r="G39" s="387"/>
      <c r="I39" s="158"/>
    </row>
    <row r="40" spans="2:15" x14ac:dyDescent="0.25">
      <c r="B40" s="387"/>
      <c r="C40" s="387"/>
      <c r="D40" s="387"/>
      <c r="E40" s="387"/>
      <c r="F40" s="387"/>
      <c r="G40" s="387"/>
    </row>
    <row r="41" spans="2:15" x14ac:dyDescent="0.25">
      <c r="B41" s="387"/>
      <c r="C41" s="387"/>
      <c r="D41" s="387"/>
      <c r="E41" s="387"/>
      <c r="F41" s="387"/>
      <c r="G41" s="387"/>
    </row>
    <row r="42" spans="2:15" x14ac:dyDescent="0.25">
      <c r="B42" s="387"/>
      <c r="C42" s="387"/>
      <c r="D42" s="387"/>
      <c r="E42" s="387"/>
      <c r="F42" s="387"/>
      <c r="G42" s="387"/>
    </row>
    <row r="43" spans="2:15" x14ac:dyDescent="0.25">
      <c r="B43" s="387"/>
      <c r="C43" s="387"/>
      <c r="D43" s="387"/>
      <c r="E43" s="387"/>
      <c r="F43" s="387"/>
      <c r="G43" s="387"/>
    </row>
    <row r="44" spans="2:15" x14ac:dyDescent="0.25">
      <c r="B44" s="387"/>
      <c r="C44" s="387"/>
      <c r="D44" s="387"/>
      <c r="E44" s="387"/>
      <c r="F44" s="387"/>
      <c r="G44" s="387"/>
    </row>
  </sheetData>
  <sheetProtection password="DBEB" sheet="1" objects="1" scenarios="1" formatColumns="0" formatRows="0" selectLockedCells="1"/>
  <mergeCells count="13">
    <mergeCell ref="B1:O1"/>
    <mergeCell ref="B2:O2"/>
    <mergeCell ref="B3:O3"/>
    <mergeCell ref="B13:O13"/>
    <mergeCell ref="B14:O14"/>
    <mergeCell ref="B26:O26"/>
    <mergeCell ref="L11:N11"/>
    <mergeCell ref="B38:G44"/>
    <mergeCell ref="B27:O27"/>
    <mergeCell ref="L35:N35"/>
    <mergeCell ref="B15:O15"/>
    <mergeCell ref="L23:N23"/>
    <mergeCell ref="B25:O25"/>
  </mergeCells>
  <pageMargins left="0.7" right="0.7" top="0.75" bottom="0.75" header="0.3" footer="0.3"/>
  <pageSetup paperSize="9"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B2:M44"/>
  <sheetViews>
    <sheetView zoomScale="85" zoomScaleNormal="85" workbookViewId="0">
      <selection activeCell="H5" sqref="H5"/>
    </sheetView>
  </sheetViews>
  <sheetFormatPr defaultColWidth="8.85546875" defaultRowHeight="15" x14ac:dyDescent="0.25"/>
  <cols>
    <col min="1" max="1" width="8" style="1" customWidth="1"/>
    <col min="2" max="2" width="44.140625" style="1" customWidth="1"/>
    <col min="3" max="3" width="15.42578125" style="1" customWidth="1"/>
    <col min="4" max="4" width="12.42578125" style="1" customWidth="1"/>
    <col min="5" max="5" width="15.42578125" style="1" customWidth="1"/>
    <col min="6" max="6" width="10" style="1" bestFit="1" customWidth="1"/>
    <col min="7" max="8" width="13.5703125" style="1" bestFit="1" customWidth="1"/>
    <col min="9" max="9" width="8.85546875" style="1"/>
    <col min="10" max="10" width="11" style="1" bestFit="1" customWidth="1"/>
    <col min="11" max="16384" width="8.85546875" style="1"/>
  </cols>
  <sheetData>
    <row r="2" spans="2:13" ht="18.75" x14ac:dyDescent="0.3">
      <c r="B2" s="372" t="str">
        <f>IF('Business Setup'!F3="","UNNAMED",'Business Setup'!F3)</f>
        <v>UNNAMED</v>
      </c>
      <c r="C2" s="373"/>
      <c r="D2" s="373"/>
      <c r="E2" s="374"/>
    </row>
    <row r="3" spans="2:13" ht="18.75" x14ac:dyDescent="0.3">
      <c r="B3" s="388" t="s">
        <v>29</v>
      </c>
      <c r="C3" s="368"/>
      <c r="D3" s="368"/>
      <c r="E3" s="389"/>
    </row>
    <row r="4" spans="2:13" ht="18.75" x14ac:dyDescent="0.3">
      <c r="B4" s="388" t="s">
        <v>522</v>
      </c>
      <c r="C4" s="368"/>
      <c r="D4" s="368"/>
      <c r="E4" s="389"/>
    </row>
    <row r="5" spans="2:13" ht="12.75" customHeight="1" x14ac:dyDescent="0.3">
      <c r="B5" s="33"/>
      <c r="C5" s="34"/>
      <c r="D5" s="34"/>
      <c r="E5" s="35"/>
      <c r="H5" s="158"/>
    </row>
    <row r="6" spans="2:13" x14ac:dyDescent="0.25">
      <c r="B6" s="131"/>
      <c r="C6" s="132" t="s">
        <v>38</v>
      </c>
      <c r="D6" s="133"/>
      <c r="E6" s="134" t="s">
        <v>38</v>
      </c>
    </row>
    <row r="7" spans="2:13" ht="15.75" x14ac:dyDescent="0.25">
      <c r="B7" s="26" t="s">
        <v>30</v>
      </c>
      <c r="E7" s="27"/>
    </row>
    <row r="8" spans="2:13" x14ac:dyDescent="0.25">
      <c r="B8" s="135" t="s">
        <v>315</v>
      </c>
      <c r="C8" s="136">
        <f>'2020 Sales'!Q27</f>
        <v>686448.8</v>
      </c>
      <c r="D8" s="136"/>
      <c r="E8" s="137"/>
      <c r="F8" s="32"/>
    </row>
    <row r="9" spans="2:13" x14ac:dyDescent="0.25">
      <c r="B9" s="28" t="s">
        <v>316</v>
      </c>
      <c r="C9" s="32">
        <f>'(HIDE) Data Validation'!BN67</f>
        <v>2247</v>
      </c>
      <c r="D9" s="32"/>
      <c r="E9" s="37"/>
    </row>
    <row r="10" spans="2:13" ht="15.75" x14ac:dyDescent="0.25">
      <c r="B10" s="138" t="s">
        <v>317</v>
      </c>
      <c r="C10" s="136"/>
      <c r="D10" s="136"/>
      <c r="E10" s="139">
        <f>ROUND(C8-C9,2)</f>
        <v>684201.8</v>
      </c>
    </row>
    <row r="11" spans="2:13" x14ac:dyDescent="0.25">
      <c r="B11" s="28" t="s">
        <v>208</v>
      </c>
      <c r="C11" s="32">
        <f>'2020 Inventory Rpt'!O8</f>
        <v>251813.40000000002</v>
      </c>
      <c r="D11" s="32"/>
      <c r="E11" s="37"/>
      <c r="H11" s="16"/>
    </row>
    <row r="12" spans="2:13" ht="15.75" x14ac:dyDescent="0.25">
      <c r="B12" s="138" t="s">
        <v>31</v>
      </c>
      <c r="C12" s="140"/>
      <c r="D12" s="140"/>
      <c r="E12" s="139">
        <f>ROUND(E10-C11,2)</f>
        <v>432388.4</v>
      </c>
    </row>
    <row r="13" spans="2:13" ht="15.75" x14ac:dyDescent="0.25">
      <c r="B13" s="26"/>
      <c r="C13" s="101"/>
      <c r="D13" s="101"/>
      <c r="E13" s="39"/>
    </row>
    <row r="14" spans="2:13" ht="15.75" x14ac:dyDescent="0.25">
      <c r="B14" s="138" t="s">
        <v>394</v>
      </c>
      <c r="C14" s="140"/>
      <c r="D14" s="140"/>
      <c r="E14" s="139"/>
    </row>
    <row r="15" spans="2:13" ht="15.75" x14ac:dyDescent="0.25">
      <c r="B15" s="28" t="s">
        <v>432</v>
      </c>
      <c r="C15" s="101"/>
      <c r="D15" s="101"/>
      <c r="E15" s="102">
        <f>ROUND('2020 Cash Budget'!O11,2)</f>
        <v>0</v>
      </c>
      <c r="G15" s="16"/>
    </row>
    <row r="16" spans="2:13" x14ac:dyDescent="0.25">
      <c r="B16" s="110"/>
      <c r="C16" s="136"/>
      <c r="D16" s="136"/>
      <c r="E16" s="137"/>
      <c r="G16" s="387" t="str">
        <f>IF('(HIDE) Data Validation'!B26=0,"","YOU HAVE NOT YET RAISED ENOUGH CAPITAL. YOU STILL NEED $"&amp;TEXT('(HIDE) Data Validation'!B26,"#,##0;;@"))</f>
        <v>YOU HAVE NOT YET RAISED ENOUGH CAPITAL. YOU STILL NEED $275,865</v>
      </c>
      <c r="H16" s="387"/>
      <c r="I16" s="387"/>
      <c r="J16" s="387"/>
      <c r="K16" s="387"/>
      <c r="L16" s="387"/>
      <c r="M16" s="387"/>
    </row>
    <row r="17" spans="2:13" ht="15.75" x14ac:dyDescent="0.25">
      <c r="B17" s="26" t="s">
        <v>32</v>
      </c>
      <c r="C17" s="32"/>
      <c r="D17" s="32"/>
      <c r="E17" s="37"/>
      <c r="G17" s="387"/>
      <c r="H17" s="387"/>
      <c r="I17" s="387"/>
      <c r="J17" s="387"/>
      <c r="K17" s="387"/>
      <c r="L17" s="387"/>
      <c r="M17" s="387"/>
    </row>
    <row r="18" spans="2:13" x14ac:dyDescent="0.25">
      <c r="B18" s="135" t="s">
        <v>17</v>
      </c>
      <c r="C18" s="136">
        <f>'2020 Cash Budget'!O20</f>
        <v>336000</v>
      </c>
      <c r="D18" s="136"/>
      <c r="E18" s="137"/>
      <c r="G18" s="387"/>
      <c r="H18" s="387"/>
      <c r="I18" s="387"/>
      <c r="J18" s="387"/>
      <c r="K18" s="387"/>
      <c r="L18" s="387"/>
      <c r="M18" s="387"/>
    </row>
    <row r="19" spans="2:13" x14ac:dyDescent="0.25">
      <c r="B19" s="28" t="s">
        <v>18</v>
      </c>
      <c r="C19" s="32">
        <f>SUM('2020 Cash Budget'!D21:N21)+'2020 Cash Budget'!N21</f>
        <v>25200</v>
      </c>
      <c r="D19" s="32"/>
      <c r="E19" s="37"/>
      <c r="G19" s="387"/>
      <c r="H19" s="387"/>
      <c r="I19" s="387"/>
      <c r="J19" s="387"/>
      <c r="K19" s="387"/>
      <c r="L19" s="387"/>
      <c r="M19" s="387"/>
    </row>
    <row r="20" spans="2:13" x14ac:dyDescent="0.25">
      <c r="B20" s="135" t="s">
        <v>19</v>
      </c>
      <c r="C20" s="136">
        <f>'2020 Cash Budget'!O22</f>
        <v>3600</v>
      </c>
      <c r="D20" s="136"/>
      <c r="E20" s="137"/>
      <c r="G20" s="387"/>
      <c r="H20" s="387"/>
      <c r="I20" s="387"/>
      <c r="J20" s="387"/>
      <c r="K20" s="387"/>
      <c r="L20" s="387"/>
      <c r="M20" s="387"/>
    </row>
    <row r="21" spans="2:13" x14ac:dyDescent="0.25">
      <c r="B21" s="28" t="s">
        <v>28</v>
      </c>
      <c r="C21" s="32">
        <f>'2020 Cash Budget'!O23</f>
        <v>10000</v>
      </c>
      <c r="D21" s="32"/>
      <c r="E21" s="37"/>
      <c r="G21" s="387"/>
      <c r="H21" s="387"/>
      <c r="I21" s="387"/>
      <c r="J21" s="387"/>
      <c r="K21" s="387"/>
      <c r="L21" s="387"/>
      <c r="M21" s="387"/>
    </row>
    <row r="22" spans="2:13" x14ac:dyDescent="0.25">
      <c r="B22" s="135" t="s">
        <v>33</v>
      </c>
      <c r="C22" s="136">
        <f>'2020 Cash Budget'!O24</f>
        <v>81600</v>
      </c>
      <c r="D22" s="136"/>
      <c r="E22" s="137"/>
    </row>
    <row r="23" spans="2:13" x14ac:dyDescent="0.25">
      <c r="B23" s="28" t="s">
        <v>34</v>
      </c>
      <c r="C23" s="32">
        <f>SUM('2020 Cash Budget'!D25:N25)+'(HIDE) Data Validation'!BL23</f>
        <v>240640</v>
      </c>
      <c r="D23" s="32"/>
      <c r="E23" s="37"/>
    </row>
    <row r="24" spans="2:13" x14ac:dyDescent="0.25">
      <c r="B24" s="135" t="s">
        <v>563</v>
      </c>
      <c r="C24" s="136">
        <f>'(HIDE) Data Validation'!BF38</f>
        <v>11000</v>
      </c>
      <c r="D24" s="136"/>
      <c r="E24" s="137"/>
      <c r="J24" s="16"/>
    </row>
    <row r="25" spans="2:13" x14ac:dyDescent="0.25">
      <c r="B25" s="28" t="s">
        <v>564</v>
      </c>
      <c r="C25" s="32">
        <f>'(HIDE) Data Validation'!BM49</f>
        <v>3000</v>
      </c>
      <c r="D25" s="32"/>
      <c r="E25" s="37"/>
      <c r="J25" s="16"/>
    </row>
    <row r="26" spans="2:13" x14ac:dyDescent="0.25">
      <c r="B26" s="135" t="s">
        <v>565</v>
      </c>
      <c r="C26" s="136">
        <f>'(HIDE) Data Validation'!I38</f>
        <v>0</v>
      </c>
      <c r="D26" s="136"/>
      <c r="E26" s="137"/>
      <c r="J26" s="16"/>
    </row>
    <row r="27" spans="2:13" x14ac:dyDescent="0.25">
      <c r="B27" s="28" t="s">
        <v>566</v>
      </c>
      <c r="C27" s="32">
        <f>'(HIDE) Data Validation'!AR61+'(HIDE) Data Validation'!AA61</f>
        <v>0</v>
      </c>
      <c r="D27" s="32"/>
      <c r="E27" s="37"/>
      <c r="J27" s="16"/>
    </row>
    <row r="28" spans="2:13" x14ac:dyDescent="0.25">
      <c r="B28" s="135" t="s">
        <v>168</v>
      </c>
      <c r="C28" s="136">
        <f>'2020 Cash Budget'!O29</f>
        <v>0</v>
      </c>
      <c r="D28" s="136"/>
      <c r="E28" s="137"/>
      <c r="J28" s="16"/>
    </row>
    <row r="29" spans="2:13" x14ac:dyDescent="0.25">
      <c r="B29" s="28" t="str">
        <f>IF('(HIDE) Data Validation'!K47=2,"-",'(HIDE) Data Validation'!K54)</f>
        <v/>
      </c>
      <c r="C29" s="32">
        <f>IF('(HIDE) Data Validation'!K47=2,0,'2020 Cash Budget'!O30)</f>
        <v>0</v>
      </c>
      <c r="D29" s="32"/>
      <c r="E29" s="37"/>
    </row>
    <row r="30" spans="2:13" x14ac:dyDescent="0.25">
      <c r="B30" s="135" t="str">
        <f>IF('(HIDE) Data Validation'!G57=2,"-",'(HIDE) Data Validation'!G64)</f>
        <v/>
      </c>
      <c r="C30" s="136">
        <f>IF('(HIDE) Data Validation'!G57=2,0,'2020 Cash Budget'!O31)</f>
        <v>0</v>
      </c>
      <c r="D30" s="136"/>
      <c r="E30" s="137"/>
    </row>
    <row r="31" spans="2:13" x14ac:dyDescent="0.25">
      <c r="B31" s="28"/>
      <c r="C31" s="32"/>
      <c r="D31" s="32"/>
      <c r="E31" s="37"/>
    </row>
    <row r="32" spans="2:13" x14ac:dyDescent="0.25">
      <c r="B32" s="135"/>
      <c r="C32" s="136"/>
      <c r="D32" s="136"/>
      <c r="E32" s="137"/>
    </row>
    <row r="33" spans="2:5" ht="15.75" x14ac:dyDescent="0.25">
      <c r="B33" s="21" t="s">
        <v>36</v>
      </c>
      <c r="C33" s="101"/>
      <c r="D33" s="101"/>
      <c r="E33" s="39">
        <f>ROUND(SUM(C18:C30),2)</f>
        <v>711040</v>
      </c>
    </row>
    <row r="34" spans="2:5" x14ac:dyDescent="0.25">
      <c r="B34" s="116"/>
      <c r="C34" s="136"/>
      <c r="D34" s="136"/>
      <c r="E34" s="137"/>
    </row>
    <row r="35" spans="2:5" ht="15.75" x14ac:dyDescent="0.25">
      <c r="B35" s="21" t="s">
        <v>673</v>
      </c>
      <c r="C35" s="101"/>
      <c r="D35" s="101"/>
      <c r="E35" s="39">
        <f>ROUND(E12-E33+E15,2)</f>
        <v>-278651.59999999998</v>
      </c>
    </row>
    <row r="36" spans="2:5" x14ac:dyDescent="0.25">
      <c r="B36" s="116"/>
      <c r="C36" s="136"/>
      <c r="D36" s="136"/>
      <c r="E36" s="137"/>
    </row>
    <row r="37" spans="2:5" ht="15.75" x14ac:dyDescent="0.25">
      <c r="B37" s="28" t="s">
        <v>35</v>
      </c>
      <c r="C37" s="32">
        <f>'(HIDE) Data Validation'!AK130</f>
        <v>5198.04</v>
      </c>
      <c r="D37" s="101"/>
      <c r="E37" s="39"/>
    </row>
    <row r="38" spans="2:5" x14ac:dyDescent="0.25">
      <c r="B38" s="135" t="s">
        <v>678</v>
      </c>
      <c r="C38" s="136">
        <v>0</v>
      </c>
      <c r="D38" s="136"/>
      <c r="E38" s="137"/>
    </row>
    <row r="39" spans="2:5" ht="15.75" x14ac:dyDescent="0.25">
      <c r="B39" s="21" t="s">
        <v>37</v>
      </c>
      <c r="C39" s="101"/>
      <c r="D39" s="101"/>
      <c r="E39" s="39">
        <f>ROUND(E35-C37,2)</f>
        <v>-283849.64</v>
      </c>
    </row>
    <row r="40" spans="2:5" x14ac:dyDescent="0.25">
      <c r="B40" s="110"/>
      <c r="C40" s="136"/>
      <c r="D40" s="136"/>
      <c r="E40" s="137"/>
    </row>
    <row r="41" spans="2:5" x14ac:dyDescent="0.25">
      <c r="B41" s="22" t="s">
        <v>170</v>
      </c>
      <c r="C41" s="32"/>
      <c r="D41" s="32"/>
      <c r="E41" s="37">
        <f>ROUND(E39/100*'(HIDE) Data Validation'!B23,2)</f>
        <v>0</v>
      </c>
    </row>
    <row r="42" spans="2:5" x14ac:dyDescent="0.25">
      <c r="B42" s="110" t="s">
        <v>171</v>
      </c>
      <c r="C42" s="136"/>
      <c r="D42" s="136"/>
      <c r="E42" s="137">
        <f>ROUND(E39-E41,2)</f>
        <v>-283849.64</v>
      </c>
    </row>
    <row r="43" spans="2:5" x14ac:dyDescent="0.25">
      <c r="B43" s="10"/>
      <c r="E43" s="27"/>
    </row>
    <row r="44" spans="2:5" x14ac:dyDescent="0.25">
      <c r="B44" s="23"/>
      <c r="C44" s="30"/>
      <c r="D44" s="30"/>
      <c r="E44" s="31"/>
    </row>
  </sheetData>
  <sheetProtection password="DBEB" sheet="1" objects="1" scenarios="1" formatColumns="0" formatRows="0" selectLockedCells="1"/>
  <mergeCells count="4">
    <mergeCell ref="B2:E2"/>
    <mergeCell ref="B3:E3"/>
    <mergeCell ref="B4:E4"/>
    <mergeCell ref="G16:M21"/>
  </mergeCells>
  <pageMargins left="0.7" right="0.7" top="0.75" bottom="0.75" header="0.3" footer="0.3"/>
  <pageSetup paperSize="9" orientation="portrait" horizontalDpi="0" verticalDpi="0" r:id="rId1"/>
  <cellWatches>
    <cellWatch r="A1"/>
  </cellWatche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C1:N27"/>
  <sheetViews>
    <sheetView zoomScaleNormal="100" workbookViewId="0">
      <selection activeCell="F3" sqref="F3:H3"/>
    </sheetView>
  </sheetViews>
  <sheetFormatPr defaultColWidth="8.85546875" defaultRowHeight="15" x14ac:dyDescent="0.25"/>
  <cols>
    <col min="1" max="3" width="8.85546875" style="1"/>
    <col min="4" max="4" width="23.28515625" style="1" customWidth="1"/>
    <col min="5" max="5" width="8.85546875" style="1"/>
    <col min="6" max="6" width="34.28515625" style="1" customWidth="1"/>
    <col min="7" max="16384" width="8.85546875" style="1"/>
  </cols>
  <sheetData>
    <row r="1" spans="3:14" ht="61.15" customHeight="1" x14ac:dyDescent="0.25"/>
    <row r="2" spans="3:14" ht="15.75" thickBot="1" x14ac:dyDescent="0.3"/>
    <row r="3" spans="3:14" ht="21" customHeight="1" thickTop="1" thickBot="1" x14ac:dyDescent="0.3">
      <c r="C3" s="44" t="s">
        <v>444</v>
      </c>
      <c r="F3" s="333"/>
      <c r="G3" s="334"/>
      <c r="H3" s="335"/>
    </row>
    <row r="4" spans="3:14" ht="15.75" thickTop="1" x14ac:dyDescent="0.25"/>
    <row r="5" spans="3:14" x14ac:dyDescent="0.25">
      <c r="C5" s="7" t="s">
        <v>172</v>
      </c>
      <c r="G5" s="228"/>
    </row>
    <row r="6" spans="3:14" x14ac:dyDescent="0.25">
      <c r="G6" s="228"/>
    </row>
    <row r="9" spans="3:14" ht="14.85" customHeight="1" x14ac:dyDescent="0.25">
      <c r="C9" s="7" t="s">
        <v>75</v>
      </c>
      <c r="G9" s="336" t="str">
        <f>"Startup Costs $"&amp;'(HIDE) Data Validation'!B9/1000&amp;",000. No existing customer base, but flexibility allows potentially faster growth in customers in future months. Base monthly sales of "&amp;'(HIDE) Data Validation'!B10&amp;" "&amp;'(HIDE) Data Validation'!A7</f>
        <v>Startup Costs $120,000. No existing customer base, but flexibility allows potentially faster growth in customers in future months. Base monthly sales of 2200 Burgers</v>
      </c>
      <c r="H9" s="336"/>
      <c r="I9" s="336"/>
      <c r="J9" s="336"/>
      <c r="K9" s="336"/>
      <c r="L9" s="336"/>
      <c r="M9" s="336"/>
      <c r="N9" s="336"/>
    </row>
    <row r="10" spans="3:14" x14ac:dyDescent="0.25">
      <c r="G10" s="336"/>
      <c r="H10" s="336"/>
      <c r="I10" s="336"/>
      <c r="J10" s="336"/>
      <c r="K10" s="336"/>
      <c r="L10" s="336"/>
      <c r="M10" s="336"/>
      <c r="N10" s="336"/>
    </row>
    <row r="11" spans="3:14" x14ac:dyDescent="0.25">
      <c r="G11" s="2"/>
    </row>
    <row r="12" spans="3:14" ht="14.85" customHeight="1" x14ac:dyDescent="0.25">
      <c r="G12" s="336" t="str">
        <f>"Startup Costs $"&amp;'(HIDE) Data Validation'!C9/1000&amp;",000. Comes with an established customer base but this comes at a higher purchase price. Base monthly sales of "&amp;'(HIDE) Data Validation'!C10&amp;" "&amp;'(HIDE) Data Validation'!A7</f>
        <v>Startup Costs $340,000. Comes with an established customer base but this comes at a higher purchase price. Base monthly sales of 6000 Burgers</v>
      </c>
      <c r="H12" s="336"/>
      <c r="I12" s="336"/>
      <c r="J12" s="336"/>
      <c r="K12" s="336"/>
      <c r="L12" s="336"/>
      <c r="M12" s="336"/>
      <c r="N12" s="336"/>
    </row>
    <row r="13" spans="3:14" x14ac:dyDescent="0.25">
      <c r="G13" s="336"/>
      <c r="H13" s="336"/>
      <c r="I13" s="336"/>
      <c r="J13" s="336"/>
      <c r="K13" s="336"/>
      <c r="L13" s="336"/>
      <c r="M13" s="336"/>
      <c r="N13" s="336"/>
    </row>
    <row r="14" spans="3:14" x14ac:dyDescent="0.25">
      <c r="G14" s="2"/>
    </row>
    <row r="15" spans="3:14" ht="14.85" customHeight="1" x14ac:dyDescent="0.25">
      <c r="G15" s="336" t="str">
        <f>"Startup Costs $"&amp;'(HIDE) Data Validation'!D9/1000&amp;",000 . Widely recognised brand but also requires a monthly fee of $4,500. SOME PRICES ARE FIXED BY THE FRANCHISOR. Base monthly sales of "&amp;'(HIDE) Data Validation'!D10&amp;" "&amp;'(HIDE) Data Validation'!A7</f>
        <v>Startup Costs $500,000 . Widely recognised brand but also requires a monthly fee of $4,500. SOME PRICES ARE FIXED BY THE FRANCHISOR. Base monthly sales of 9500 Burgers</v>
      </c>
      <c r="H15" s="336"/>
      <c r="I15" s="336"/>
      <c r="J15" s="336"/>
      <c r="K15" s="336"/>
      <c r="L15" s="336"/>
      <c r="M15" s="336"/>
      <c r="N15" s="336"/>
    </row>
    <row r="16" spans="3:14" x14ac:dyDescent="0.25">
      <c r="G16" s="336"/>
      <c r="H16" s="336"/>
      <c r="I16" s="336"/>
      <c r="J16" s="336"/>
      <c r="K16" s="336"/>
      <c r="L16" s="336"/>
      <c r="M16" s="336"/>
      <c r="N16" s="336"/>
    </row>
    <row r="20" spans="3:14" ht="14.85" customHeight="1" x14ac:dyDescent="0.25">
      <c r="C20" s="7" t="s">
        <v>78</v>
      </c>
      <c r="G20" s="332" t="str">
        <f>"Rent = $"&amp;'(HIDE) Data Validation'!H12&amp;",000 per month. Medium foot traffic. Can result in a moderate boost in sales. Sales generally consistent from week to week. Some local competition."</f>
        <v>Rent = $28,000 per month. Medium foot traffic. Can result in a moderate boost in sales. Sales generally consistent from week to week. Some local competition.</v>
      </c>
      <c r="H20" s="332"/>
      <c r="I20" s="332"/>
      <c r="J20" s="332"/>
      <c r="K20" s="332"/>
      <c r="L20" s="332"/>
      <c r="M20" s="332"/>
      <c r="N20" s="332"/>
    </row>
    <row r="21" spans="3:14" x14ac:dyDescent="0.25">
      <c r="G21" s="332"/>
      <c r="H21" s="332"/>
      <c r="I21" s="332"/>
      <c r="J21" s="332"/>
      <c r="K21" s="332"/>
      <c r="L21" s="332"/>
      <c r="M21" s="332"/>
      <c r="N21" s="332"/>
    </row>
    <row r="22" spans="3:14" x14ac:dyDescent="0.25">
      <c r="G22" s="3"/>
    </row>
    <row r="23" spans="3:14" ht="14.85" customHeight="1" x14ac:dyDescent="0.25">
      <c r="G23" s="332" t="str">
        <f>"Rent = $"&amp;'(HIDE) Data Validation'!I12&amp;",000 per month. High foot traffic. Can result in a good boost in sales. Monthly sales vary by time of the year. Higher nearby competition"</f>
        <v>Rent = $55,000 per month. High foot traffic. Can result in a good boost in sales. Monthly sales vary by time of the year. Higher nearby competition</v>
      </c>
      <c r="H23" s="332"/>
      <c r="I23" s="332"/>
      <c r="J23" s="332"/>
      <c r="K23" s="332"/>
      <c r="L23" s="332"/>
      <c r="M23" s="332"/>
      <c r="N23" s="332"/>
    </row>
    <row r="24" spans="3:14" x14ac:dyDescent="0.25">
      <c r="G24" s="332"/>
      <c r="H24" s="332"/>
      <c r="I24" s="332"/>
      <c r="J24" s="332"/>
      <c r="K24" s="332"/>
      <c r="L24" s="332"/>
      <c r="M24" s="332"/>
      <c r="N24" s="332"/>
    </row>
    <row r="25" spans="3:14" x14ac:dyDescent="0.25">
      <c r="G25" s="3"/>
    </row>
    <row r="26" spans="3:14" ht="14.85" customHeight="1" x14ac:dyDescent="0.25">
      <c r="G26" s="332" t="str">
        <f>"Rent = $"&amp;'(HIDE) Data Validation'!J12&amp;",000 per month. Customers are predominantly those living in the local area"</f>
        <v>Rent = $7,000 per month. Customers are predominantly those living in the local area</v>
      </c>
      <c r="H26" s="332"/>
      <c r="I26" s="332"/>
      <c r="J26" s="332"/>
      <c r="K26" s="332"/>
      <c r="L26" s="332"/>
      <c r="M26" s="332"/>
      <c r="N26" s="332"/>
    </row>
    <row r="27" spans="3:14" x14ac:dyDescent="0.25">
      <c r="G27" s="332"/>
      <c r="H27" s="332"/>
      <c r="I27" s="332"/>
      <c r="J27" s="332"/>
      <c r="K27" s="332"/>
      <c r="L27" s="332"/>
      <c r="M27" s="332"/>
      <c r="N27" s="332"/>
    </row>
  </sheetData>
  <sheetProtection algorithmName="SHA-512" hashValue="uI+YzAFLKvgIzGcCC/TtHQzbPo2BqCO28C+W4oTnU6lJhZaIx7I17e6gMl+O0unHK1gdUzHQiwSW65hdUsL6ig==" saltValue="qEs4DOZ3mXwhxwz/A5H6YA==" spinCount="100000" sheet="1" objects="1" scenarios="1" formatColumns="0" formatRows="0" selectLockedCells="1"/>
  <mergeCells count="7">
    <mergeCell ref="G23:N24"/>
    <mergeCell ref="G26:N27"/>
    <mergeCell ref="F3:H3"/>
    <mergeCell ref="G9:N10"/>
    <mergeCell ref="G12:N13"/>
    <mergeCell ref="G15:N16"/>
    <mergeCell ref="G20:N21"/>
  </mergeCells>
  <dataValidations xWindow="602" yWindow="378" count="1">
    <dataValidation allowBlank="1" showErrorMessage="1" promptTitle="Choose ONE" prompt="Sole Trader - Startup Costs $100,000. No existing customer base_x000a__x000a_Existing business - Startup Costs $150000 . Comes with an established customer base but you need to pay for this goodwill_x000a__x000a_Franchise - Startup Costs $700000. Recognised sto Monthly Fee $4500" sqref="G9" xr:uid="{00000000-0002-0000-0200-000000000000}"/>
  </dataValidations>
  <pageMargins left="0.7" right="0.7" top="0.75" bottom="0.75" header="0.3" footer="0.3"/>
  <pageSetup paperSize="9" orientation="portrait" horizontalDpi="0" verticalDpi="0" r:id="rId1"/>
  <cellWatches>
    <cellWatch r="A1"/>
  </cellWatches>
  <drawing r:id="rId2"/>
  <legacyDrawing r:id="rId3"/>
  <mc:AlternateContent xmlns:mc="http://schemas.openxmlformats.org/markup-compatibility/2006">
    <mc:Choice Requires="x14">
      <controls>
        <mc:AlternateContent xmlns:mc="http://schemas.openxmlformats.org/markup-compatibility/2006">
          <mc:Choice Requires="x14">
            <control shapeId="8198" r:id="rId4" name="Group Box 6">
              <controlPr defaultSize="0" autoFill="0" autoPict="0" altText="First Product">
                <anchor moveWithCells="1">
                  <from>
                    <xdr:col>4</xdr:col>
                    <xdr:colOff>609600</xdr:colOff>
                    <xdr:row>3</xdr:row>
                    <xdr:rowOff>142875</xdr:rowOff>
                  </from>
                  <to>
                    <xdr:col>5</xdr:col>
                    <xdr:colOff>923925</xdr:colOff>
                    <xdr:row>7</xdr:row>
                    <xdr:rowOff>57150</xdr:rowOff>
                  </to>
                </anchor>
              </controlPr>
            </control>
          </mc:Choice>
        </mc:AlternateContent>
        <mc:AlternateContent xmlns:mc="http://schemas.openxmlformats.org/markup-compatibility/2006">
          <mc:Choice Requires="x14">
            <control shapeId="8200" r:id="rId5" name="Option Button 8">
              <controlPr defaultSize="0" autoFill="0" autoLine="0" autoPict="0">
                <anchor moveWithCells="1">
                  <from>
                    <xdr:col>5</xdr:col>
                    <xdr:colOff>9525</xdr:colOff>
                    <xdr:row>3</xdr:row>
                    <xdr:rowOff>171450</xdr:rowOff>
                  </from>
                  <to>
                    <xdr:col>5</xdr:col>
                    <xdr:colOff>895350</xdr:colOff>
                    <xdr:row>5</xdr:row>
                    <xdr:rowOff>9525</xdr:rowOff>
                  </to>
                </anchor>
              </controlPr>
            </control>
          </mc:Choice>
        </mc:AlternateContent>
        <mc:AlternateContent xmlns:mc="http://schemas.openxmlformats.org/markup-compatibility/2006">
          <mc:Choice Requires="x14">
            <control shapeId="8203" r:id="rId6" name="Option Button 11">
              <controlPr defaultSize="0" autoFill="0" autoLine="0" autoPict="0">
                <anchor moveWithCells="1">
                  <from>
                    <xdr:col>5</xdr:col>
                    <xdr:colOff>9525</xdr:colOff>
                    <xdr:row>4</xdr:row>
                    <xdr:rowOff>171450</xdr:rowOff>
                  </from>
                  <to>
                    <xdr:col>5</xdr:col>
                    <xdr:colOff>895350</xdr:colOff>
                    <xdr:row>6</xdr:row>
                    <xdr:rowOff>19050</xdr:rowOff>
                  </to>
                </anchor>
              </controlPr>
            </control>
          </mc:Choice>
        </mc:AlternateContent>
        <mc:AlternateContent xmlns:mc="http://schemas.openxmlformats.org/markup-compatibility/2006">
          <mc:Choice Requires="x14">
            <control shapeId="8204" r:id="rId7" name="Option Button 12">
              <controlPr defaultSize="0" autoFill="0" autoLine="0" autoPict="0">
                <anchor moveWithCells="1">
                  <from>
                    <xdr:col>5</xdr:col>
                    <xdr:colOff>9525</xdr:colOff>
                    <xdr:row>5</xdr:row>
                    <xdr:rowOff>171450</xdr:rowOff>
                  </from>
                  <to>
                    <xdr:col>5</xdr:col>
                    <xdr:colOff>895350</xdr:colOff>
                    <xdr:row>7</xdr:row>
                    <xdr:rowOff>19050</xdr:rowOff>
                  </to>
                </anchor>
              </controlPr>
            </control>
          </mc:Choice>
        </mc:AlternateContent>
        <mc:AlternateContent xmlns:mc="http://schemas.openxmlformats.org/markup-compatibility/2006">
          <mc:Choice Requires="x14">
            <control shapeId="8207" r:id="rId8" name="Group Box 15">
              <controlPr defaultSize="0" autoFill="0" autoPict="0">
                <anchor moveWithCells="1">
                  <from>
                    <xdr:col>4</xdr:col>
                    <xdr:colOff>600075</xdr:colOff>
                    <xdr:row>7</xdr:row>
                    <xdr:rowOff>152400</xdr:rowOff>
                  </from>
                  <to>
                    <xdr:col>14</xdr:col>
                    <xdr:colOff>238125</xdr:colOff>
                    <xdr:row>16</xdr:row>
                    <xdr:rowOff>123825</xdr:rowOff>
                  </to>
                </anchor>
              </controlPr>
            </control>
          </mc:Choice>
        </mc:AlternateContent>
        <mc:AlternateContent xmlns:mc="http://schemas.openxmlformats.org/markup-compatibility/2006">
          <mc:Choice Requires="x14">
            <control shapeId="8212" r:id="rId9" name="Option Button 20">
              <controlPr defaultSize="0" autoFill="0" autoLine="0" autoPict="0">
                <anchor moveWithCells="1">
                  <from>
                    <xdr:col>5</xdr:col>
                    <xdr:colOff>19050</xdr:colOff>
                    <xdr:row>7</xdr:row>
                    <xdr:rowOff>171450</xdr:rowOff>
                  </from>
                  <to>
                    <xdr:col>5</xdr:col>
                    <xdr:colOff>1552575</xdr:colOff>
                    <xdr:row>9</xdr:row>
                    <xdr:rowOff>28575</xdr:rowOff>
                  </to>
                </anchor>
              </controlPr>
            </control>
          </mc:Choice>
        </mc:AlternateContent>
        <mc:AlternateContent xmlns:mc="http://schemas.openxmlformats.org/markup-compatibility/2006">
          <mc:Choice Requires="x14">
            <control shapeId="8214" r:id="rId10" name="Option Button 22">
              <controlPr defaultSize="0" autoFill="0" autoLine="0" autoPict="0">
                <anchor moveWithCells="1">
                  <from>
                    <xdr:col>5</xdr:col>
                    <xdr:colOff>9525</xdr:colOff>
                    <xdr:row>10</xdr:row>
                    <xdr:rowOff>171450</xdr:rowOff>
                  </from>
                  <to>
                    <xdr:col>5</xdr:col>
                    <xdr:colOff>1847850</xdr:colOff>
                    <xdr:row>12</xdr:row>
                    <xdr:rowOff>28575</xdr:rowOff>
                  </to>
                </anchor>
              </controlPr>
            </control>
          </mc:Choice>
        </mc:AlternateContent>
        <mc:AlternateContent xmlns:mc="http://schemas.openxmlformats.org/markup-compatibility/2006">
          <mc:Choice Requires="x14">
            <control shapeId="8217" r:id="rId11" name="Option Button 25">
              <controlPr defaultSize="0" autoFill="0" autoLine="0" autoPict="0">
                <anchor moveWithCells="1">
                  <from>
                    <xdr:col>5</xdr:col>
                    <xdr:colOff>9525</xdr:colOff>
                    <xdr:row>13</xdr:row>
                    <xdr:rowOff>161925</xdr:rowOff>
                  </from>
                  <to>
                    <xdr:col>5</xdr:col>
                    <xdr:colOff>1962150</xdr:colOff>
                    <xdr:row>15</xdr:row>
                    <xdr:rowOff>28575</xdr:rowOff>
                  </to>
                </anchor>
              </controlPr>
            </control>
          </mc:Choice>
        </mc:AlternateContent>
        <mc:AlternateContent xmlns:mc="http://schemas.openxmlformats.org/markup-compatibility/2006">
          <mc:Choice Requires="x14">
            <control shapeId="8218" r:id="rId12" name="Group Box 26">
              <controlPr defaultSize="0" autoFill="0" autoPict="0">
                <anchor moveWithCells="1">
                  <from>
                    <xdr:col>4</xdr:col>
                    <xdr:colOff>590550</xdr:colOff>
                    <xdr:row>18</xdr:row>
                    <xdr:rowOff>133350</xdr:rowOff>
                  </from>
                  <to>
                    <xdr:col>14</xdr:col>
                    <xdr:colOff>238125</xdr:colOff>
                    <xdr:row>27</xdr:row>
                    <xdr:rowOff>123825</xdr:rowOff>
                  </to>
                </anchor>
              </controlPr>
            </control>
          </mc:Choice>
        </mc:AlternateContent>
        <mc:AlternateContent xmlns:mc="http://schemas.openxmlformats.org/markup-compatibility/2006">
          <mc:Choice Requires="x14">
            <control shapeId="8219" r:id="rId13" name="Option Button 27">
              <controlPr defaultSize="0" autoFill="0" autoLine="0" autoPict="0">
                <anchor moveWithCells="1">
                  <from>
                    <xdr:col>5</xdr:col>
                    <xdr:colOff>19050</xdr:colOff>
                    <xdr:row>18</xdr:row>
                    <xdr:rowOff>161925</xdr:rowOff>
                  </from>
                  <to>
                    <xdr:col>5</xdr:col>
                    <xdr:colOff>962025</xdr:colOff>
                    <xdr:row>20</xdr:row>
                    <xdr:rowOff>19050</xdr:rowOff>
                  </to>
                </anchor>
              </controlPr>
            </control>
          </mc:Choice>
        </mc:AlternateContent>
        <mc:AlternateContent xmlns:mc="http://schemas.openxmlformats.org/markup-compatibility/2006">
          <mc:Choice Requires="x14">
            <control shapeId="8220" r:id="rId14" name="Option Button 28">
              <controlPr defaultSize="0" autoFill="0" autoLine="0" autoPict="0">
                <anchor moveWithCells="1">
                  <from>
                    <xdr:col>5</xdr:col>
                    <xdr:colOff>19050</xdr:colOff>
                    <xdr:row>21</xdr:row>
                    <xdr:rowOff>161925</xdr:rowOff>
                  </from>
                  <to>
                    <xdr:col>5</xdr:col>
                    <xdr:colOff>1962150</xdr:colOff>
                    <xdr:row>23</xdr:row>
                    <xdr:rowOff>9525</xdr:rowOff>
                  </to>
                </anchor>
              </controlPr>
            </control>
          </mc:Choice>
        </mc:AlternateContent>
        <mc:AlternateContent xmlns:mc="http://schemas.openxmlformats.org/markup-compatibility/2006">
          <mc:Choice Requires="x14">
            <control shapeId="8221" r:id="rId15" name="Option Button 29">
              <controlPr defaultSize="0" autoFill="0" autoLine="0" autoPict="0">
                <anchor moveWithCells="1">
                  <from>
                    <xdr:col>5</xdr:col>
                    <xdr:colOff>19050</xdr:colOff>
                    <xdr:row>24</xdr:row>
                    <xdr:rowOff>161925</xdr:rowOff>
                  </from>
                  <to>
                    <xdr:col>5</xdr:col>
                    <xdr:colOff>1962150</xdr:colOff>
                    <xdr:row>26</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dimension ref="B2:T52"/>
  <sheetViews>
    <sheetView zoomScale="70" zoomScaleNormal="70" workbookViewId="0">
      <selection activeCell="G5" sqref="G5"/>
    </sheetView>
  </sheetViews>
  <sheetFormatPr defaultColWidth="8.85546875" defaultRowHeight="15" x14ac:dyDescent="0.25"/>
  <cols>
    <col min="1" max="1" width="8.85546875" style="1"/>
    <col min="2" max="2" width="42.28515625" style="1" customWidth="1"/>
    <col min="3" max="3" width="15.5703125" style="1" customWidth="1"/>
    <col min="4" max="4" width="6.7109375" style="1" customWidth="1"/>
    <col min="5" max="5" width="16.28515625" style="1" customWidth="1"/>
    <col min="6" max="6" width="8.85546875" style="1"/>
    <col min="7" max="8" width="12.42578125" style="1" bestFit="1" customWidth="1"/>
    <col min="9" max="9" width="10.5703125" style="1" bestFit="1" customWidth="1"/>
    <col min="10" max="16384" width="8.85546875" style="1"/>
  </cols>
  <sheetData>
    <row r="2" spans="2:13" ht="18.75" x14ac:dyDescent="0.3">
      <c r="B2" s="372" t="str">
        <f>IF('Business Setup'!F3="","UNNAMED",'Business Setup'!F3)</f>
        <v>UNNAMED</v>
      </c>
      <c r="C2" s="373"/>
      <c r="D2" s="373"/>
      <c r="E2" s="374"/>
    </row>
    <row r="3" spans="2:13" ht="18.75" x14ac:dyDescent="0.3">
      <c r="B3" s="388" t="s">
        <v>39</v>
      </c>
      <c r="C3" s="368"/>
      <c r="D3" s="368"/>
      <c r="E3" s="389"/>
    </row>
    <row r="4" spans="2:13" ht="18.75" x14ac:dyDescent="0.3">
      <c r="B4" s="388" t="s">
        <v>522</v>
      </c>
      <c r="C4" s="368"/>
      <c r="D4" s="368"/>
      <c r="E4" s="389"/>
    </row>
    <row r="5" spans="2:13" ht="18.75" x14ac:dyDescent="0.3">
      <c r="B5" s="33"/>
      <c r="C5" s="34"/>
      <c r="D5" s="34"/>
      <c r="E5" s="35"/>
      <c r="G5" s="158"/>
    </row>
    <row r="6" spans="2:13" ht="15.75" x14ac:dyDescent="0.25">
      <c r="B6" s="138" t="s">
        <v>40</v>
      </c>
      <c r="C6" s="132" t="s">
        <v>38</v>
      </c>
      <c r="D6" s="132"/>
      <c r="E6" s="134" t="s">
        <v>38</v>
      </c>
    </row>
    <row r="7" spans="2:13" x14ac:dyDescent="0.25">
      <c r="B7" s="70" t="s">
        <v>41</v>
      </c>
      <c r="E7" s="27"/>
    </row>
    <row r="8" spans="2:13" x14ac:dyDescent="0.25">
      <c r="B8" s="135" t="str">
        <f>IF('2020 Cash Budget'!O38&gt;=0,"Cash","-")</f>
        <v>Cash</v>
      </c>
      <c r="C8" s="136">
        <f>IF('2020 Cash Budget'!O38&gt;0,'2020 Cash Budget'!O38,0)</f>
        <v>35393.870000000003</v>
      </c>
      <c r="D8" s="136"/>
      <c r="E8" s="137"/>
      <c r="H8" s="32"/>
    </row>
    <row r="9" spans="2:13" x14ac:dyDescent="0.25">
      <c r="B9" s="28" t="s">
        <v>229</v>
      </c>
      <c r="C9" s="32">
        <f>'(HIDE) Data Validation'!AW89</f>
        <v>0</v>
      </c>
      <c r="D9" s="32"/>
      <c r="E9" s="37"/>
    </row>
    <row r="10" spans="2:13" x14ac:dyDescent="0.25">
      <c r="B10" s="135" t="s">
        <v>55</v>
      </c>
      <c r="C10" s="136">
        <f>'2020 Inventory Rpt'!O9</f>
        <v>0</v>
      </c>
      <c r="D10" s="136"/>
      <c r="E10" s="137"/>
    </row>
    <row r="11" spans="2:13" x14ac:dyDescent="0.25">
      <c r="B11" s="70" t="s">
        <v>42</v>
      </c>
      <c r="C11" s="32"/>
      <c r="D11" s="32"/>
      <c r="E11" s="37">
        <f>ROUND(SUM(C8:C10),2)</f>
        <v>35393.870000000003</v>
      </c>
    </row>
    <row r="12" spans="2:13" x14ac:dyDescent="0.25">
      <c r="B12" s="143"/>
      <c r="C12" s="136"/>
      <c r="D12" s="136"/>
      <c r="E12" s="137"/>
    </row>
    <row r="13" spans="2:13" x14ac:dyDescent="0.25">
      <c r="B13" s="70" t="s">
        <v>43</v>
      </c>
      <c r="C13" s="32"/>
      <c r="D13" s="32"/>
      <c r="E13" s="37"/>
      <c r="G13" s="387" t="str">
        <f>IF('(HIDE) Data Validation'!B26=0,"","YOU HAVE NOT YET RAISED ENOUGH CAPITAL. YOU STILL NEED $"&amp;TEXT('(HIDE) Data Validation'!B26,"#,##0;;@"))</f>
        <v>YOU HAVE NOT YET RAISED ENOUGH CAPITAL. YOU STILL NEED $275,865</v>
      </c>
      <c r="H13" s="387"/>
      <c r="I13" s="387"/>
      <c r="J13" s="387"/>
      <c r="K13" s="387"/>
      <c r="L13" s="387"/>
      <c r="M13" s="387"/>
    </row>
    <row r="14" spans="2:13" x14ac:dyDescent="0.25">
      <c r="B14" s="135" t="s">
        <v>531</v>
      </c>
      <c r="C14" s="136">
        <f>'(HIDE) Data Validation'!AR36</f>
        <v>159000</v>
      </c>
      <c r="D14" s="136"/>
      <c r="E14" s="137"/>
      <c r="G14" s="387"/>
      <c r="H14" s="387"/>
      <c r="I14" s="387"/>
      <c r="J14" s="387"/>
      <c r="K14" s="387"/>
      <c r="L14" s="387"/>
      <c r="M14" s="387"/>
    </row>
    <row r="15" spans="2:13" x14ac:dyDescent="0.25">
      <c r="B15" s="28" t="s">
        <v>56</v>
      </c>
      <c r="C15" s="32">
        <f>ROUND(-'(HIDE) Data Validation'!BF39,2)</f>
        <v>-19450.009999999998</v>
      </c>
      <c r="D15" s="32"/>
      <c r="E15" s="37"/>
      <c r="G15" s="387"/>
      <c r="H15" s="387"/>
      <c r="I15" s="387"/>
      <c r="J15" s="387"/>
      <c r="K15" s="387"/>
      <c r="L15" s="387"/>
      <c r="M15" s="387"/>
    </row>
    <row r="16" spans="2:13" x14ac:dyDescent="0.25">
      <c r="B16" s="135" t="s">
        <v>532</v>
      </c>
      <c r="C16" s="136">
        <f>'(HIDE) Data Validation'!Z50+'(HIDE) Data Validation'!BE50</f>
        <v>30000</v>
      </c>
      <c r="D16" s="136"/>
      <c r="E16" s="137"/>
      <c r="G16" s="387"/>
      <c r="H16" s="387"/>
      <c r="I16" s="387"/>
      <c r="J16" s="387"/>
      <c r="K16" s="387"/>
      <c r="L16" s="387"/>
      <c r="M16" s="387"/>
    </row>
    <row r="17" spans="2:13" x14ac:dyDescent="0.25">
      <c r="B17" s="28" t="s">
        <v>56</v>
      </c>
      <c r="C17" s="32">
        <f>ROUND(-'(HIDE) Data Validation'!BM48,2)</f>
        <v>-4604.18</v>
      </c>
      <c r="D17" s="32"/>
      <c r="E17" s="37"/>
      <c r="G17" s="387"/>
      <c r="H17" s="387"/>
      <c r="I17" s="387"/>
      <c r="J17" s="387"/>
      <c r="K17" s="387"/>
      <c r="L17" s="387"/>
      <c r="M17" s="387"/>
    </row>
    <row r="18" spans="2:13" x14ac:dyDescent="0.25">
      <c r="B18" s="135" t="s">
        <v>533</v>
      </c>
      <c r="C18" s="136">
        <f>'(HIDE) Data Validation'!I34</f>
        <v>0</v>
      </c>
      <c r="D18" s="136"/>
      <c r="E18" s="137"/>
      <c r="G18" s="387"/>
      <c r="H18" s="387"/>
      <c r="I18" s="387"/>
      <c r="J18" s="387"/>
      <c r="K18" s="387"/>
      <c r="L18" s="387"/>
      <c r="M18" s="387"/>
    </row>
    <row r="19" spans="2:13" x14ac:dyDescent="0.25">
      <c r="B19" s="28" t="s">
        <v>56</v>
      </c>
      <c r="C19" s="32">
        <f>-'(HIDE) Data Validation'!I38*2</f>
        <v>0</v>
      </c>
      <c r="D19" s="32"/>
      <c r="E19" s="37"/>
      <c r="G19" s="387"/>
      <c r="H19" s="387"/>
      <c r="I19" s="387"/>
      <c r="J19" s="387"/>
      <c r="K19" s="387"/>
      <c r="L19" s="387"/>
      <c r="M19" s="387"/>
    </row>
    <row r="20" spans="2:13" x14ac:dyDescent="0.25">
      <c r="B20" s="135" t="str">
        <f>IF('(HIDE) Data Validation'!AS60=0,"","Vehicles")</f>
        <v/>
      </c>
      <c r="C20" s="136">
        <f>IF('(HIDE) Data Validation'!AS60=0,0,'(HIDE) Data Validation'!AS60)</f>
        <v>0</v>
      </c>
      <c r="D20" s="136"/>
      <c r="E20" s="137"/>
      <c r="G20" s="387"/>
      <c r="H20" s="387"/>
      <c r="I20" s="387"/>
      <c r="J20" s="387"/>
      <c r="K20" s="387"/>
      <c r="L20" s="387"/>
      <c r="M20" s="387"/>
    </row>
    <row r="21" spans="2:13" x14ac:dyDescent="0.25">
      <c r="B21" s="28" t="str">
        <f>IF('(HIDE) Data Validation'!AS62=0,"","Less: Accumulated Depreciation")</f>
        <v/>
      </c>
      <c r="C21" s="32">
        <f>IF('(HIDE) Data Validation'!AS62=0,0,-'(HIDE) Data Validation'!AS62)</f>
        <v>0</v>
      </c>
      <c r="D21" s="32"/>
      <c r="E21" s="37"/>
      <c r="G21" s="387"/>
      <c r="H21" s="387"/>
      <c r="I21" s="387"/>
      <c r="J21" s="387"/>
      <c r="K21" s="387"/>
      <c r="L21" s="387"/>
      <c r="M21" s="387"/>
    </row>
    <row r="22" spans="2:13" x14ac:dyDescent="0.25">
      <c r="B22" s="143" t="s">
        <v>44</v>
      </c>
      <c r="C22" s="136"/>
      <c r="D22" s="136"/>
      <c r="E22" s="137">
        <f>ROUND(SUM(C14:C21),2)</f>
        <v>164945.81</v>
      </c>
      <c r="G22" s="387"/>
      <c r="H22" s="387"/>
      <c r="I22" s="387"/>
      <c r="J22" s="387"/>
      <c r="K22" s="387"/>
      <c r="L22" s="387"/>
      <c r="M22" s="387"/>
    </row>
    <row r="23" spans="2:13" ht="15.75" x14ac:dyDescent="0.25">
      <c r="B23" s="26" t="s">
        <v>45</v>
      </c>
      <c r="C23" s="38"/>
      <c r="D23" s="38"/>
      <c r="E23" s="39">
        <f>ROUND(E11+E22,2)</f>
        <v>200339.68</v>
      </c>
      <c r="G23" s="32"/>
    </row>
    <row r="24" spans="2:13" x14ac:dyDescent="0.25">
      <c r="B24" s="110"/>
      <c r="C24" s="136"/>
      <c r="D24" s="136"/>
      <c r="E24" s="137"/>
    </row>
    <row r="25" spans="2:13" ht="15.75" x14ac:dyDescent="0.25">
      <c r="B25" s="26" t="s">
        <v>46</v>
      </c>
      <c r="C25" s="32"/>
      <c r="D25" s="32"/>
      <c r="E25" s="37"/>
    </row>
    <row r="26" spans="2:13" x14ac:dyDescent="0.25">
      <c r="B26" s="143" t="s">
        <v>49</v>
      </c>
      <c r="C26" s="136"/>
      <c r="D26" s="136"/>
      <c r="E26" s="137"/>
    </row>
    <row r="27" spans="2:13" x14ac:dyDescent="0.25">
      <c r="B27" s="28" t="str">
        <f>IF('2020 Cash Budget'!O38&lt;0,"Cash (Bank Overdraft)","-")</f>
        <v>-</v>
      </c>
      <c r="C27" s="32">
        <f>IF('2020 Cash Budget'!O38&lt;0,-'2020 Cash Budget'!O38,0)</f>
        <v>0</v>
      </c>
      <c r="D27" s="32"/>
      <c r="E27" s="37"/>
    </row>
    <row r="28" spans="2:13" x14ac:dyDescent="0.25">
      <c r="B28" s="135" t="s">
        <v>567</v>
      </c>
      <c r="C28" s="136">
        <f>'(HIDE) Data Validation'!$D$69</f>
        <v>840</v>
      </c>
      <c r="D28" s="136"/>
      <c r="E28" s="137"/>
    </row>
    <row r="29" spans="2:13" x14ac:dyDescent="0.25">
      <c r="B29" s="28" t="s">
        <v>568</v>
      </c>
      <c r="C29" s="32">
        <f>'(HIDE) Data Validation'!$H$13</f>
        <v>28000</v>
      </c>
      <c r="D29" s="32"/>
      <c r="E29" s="37"/>
    </row>
    <row r="30" spans="2:13" x14ac:dyDescent="0.25">
      <c r="B30" s="135" t="s">
        <v>569</v>
      </c>
      <c r="C30" s="136">
        <v>300</v>
      </c>
      <c r="D30" s="136"/>
      <c r="E30" s="137"/>
    </row>
    <row r="31" spans="2:13" x14ac:dyDescent="0.25">
      <c r="B31" s="28" t="s">
        <v>570</v>
      </c>
      <c r="C31" s="32">
        <f>'(HIDE) Data Validation'!$J$3</f>
        <v>5000</v>
      </c>
      <c r="D31" s="32"/>
      <c r="E31" s="37"/>
    </row>
    <row r="32" spans="2:13" x14ac:dyDescent="0.25">
      <c r="B32" s="135" t="s">
        <v>571</v>
      </c>
      <c r="C32" s="136">
        <v>6800</v>
      </c>
      <c r="D32" s="136"/>
      <c r="E32" s="137"/>
    </row>
    <row r="33" spans="2:20" x14ac:dyDescent="0.25">
      <c r="B33" s="28" t="s">
        <v>572</v>
      </c>
      <c r="C33" s="32">
        <f>'(HIDE) Data Validation'!BL23</f>
        <v>10240</v>
      </c>
      <c r="D33" s="32"/>
      <c r="E33" s="37"/>
    </row>
    <row r="34" spans="2:20" x14ac:dyDescent="0.25">
      <c r="B34" s="143" t="s">
        <v>47</v>
      </c>
      <c r="C34" s="136"/>
      <c r="D34" s="136"/>
      <c r="E34" s="137">
        <f>ROUND(SUM(C27:C33),2)</f>
        <v>51180</v>
      </c>
    </row>
    <row r="35" spans="2:20" x14ac:dyDescent="0.25">
      <c r="B35" s="70"/>
      <c r="C35" s="32"/>
      <c r="D35" s="32"/>
      <c r="E35" s="37"/>
    </row>
    <row r="36" spans="2:20" x14ac:dyDescent="0.25">
      <c r="B36" s="143" t="s">
        <v>50</v>
      </c>
      <c r="C36" s="136"/>
      <c r="D36" s="136"/>
      <c r="E36" s="137"/>
    </row>
    <row r="37" spans="2:20" x14ac:dyDescent="0.25">
      <c r="B37" s="28" t="s">
        <v>57</v>
      </c>
      <c r="C37" s="32">
        <f>'(HIDE) Data Validation'!AK132</f>
        <v>46702.67</v>
      </c>
      <c r="D37" s="32"/>
      <c r="E37" s="37"/>
    </row>
    <row r="38" spans="2:20" x14ac:dyDescent="0.25">
      <c r="B38" s="143" t="s">
        <v>48</v>
      </c>
      <c r="C38" s="136"/>
      <c r="D38" s="136"/>
      <c r="E38" s="137">
        <f>ROUND(C37,2)</f>
        <v>46702.67</v>
      </c>
    </row>
    <row r="39" spans="2:20" ht="15.75" x14ac:dyDescent="0.25">
      <c r="B39" s="26" t="s">
        <v>51</v>
      </c>
      <c r="C39" s="38"/>
      <c r="D39" s="38"/>
      <c r="E39" s="39">
        <f>ROUND(E38+E34,2)</f>
        <v>97882.67</v>
      </c>
    </row>
    <row r="40" spans="2:20" x14ac:dyDescent="0.25">
      <c r="B40" s="110"/>
      <c r="C40" s="136"/>
      <c r="D40" s="136"/>
      <c r="E40" s="137"/>
    </row>
    <row r="41" spans="2:20" ht="15.75" x14ac:dyDescent="0.25">
      <c r="B41" s="26" t="s">
        <v>52</v>
      </c>
      <c r="C41" s="38"/>
      <c r="D41" s="38"/>
      <c r="E41" s="39">
        <f>ROUND(E23-E39,2)</f>
        <v>102457.01</v>
      </c>
      <c r="H41" s="32"/>
    </row>
    <row r="42" spans="2:20" x14ac:dyDescent="0.25">
      <c r="B42" s="110"/>
      <c r="C42" s="136"/>
      <c r="D42" s="136"/>
      <c r="E42" s="137"/>
    </row>
    <row r="43" spans="2:20" ht="15.75" x14ac:dyDescent="0.25">
      <c r="B43" s="26" t="s">
        <v>53</v>
      </c>
      <c r="C43" s="32"/>
      <c r="D43" s="32"/>
      <c r="E43" s="37"/>
    </row>
    <row r="44" spans="2:20" x14ac:dyDescent="0.25">
      <c r="B44" s="144" t="s">
        <v>330</v>
      </c>
      <c r="C44" s="136">
        <f>'(HIDE) Data Validation'!D19</f>
        <v>100000</v>
      </c>
      <c r="D44" s="136"/>
      <c r="E44" s="137"/>
    </row>
    <row r="45" spans="2:20" x14ac:dyDescent="0.25">
      <c r="B45" s="36" t="s">
        <v>331</v>
      </c>
      <c r="C45" s="32">
        <f>'(HIDE) Data Validation'!D21</f>
        <v>0</v>
      </c>
      <c r="D45" s="32"/>
      <c r="E45" s="37"/>
    </row>
    <row r="46" spans="2:20" x14ac:dyDescent="0.25">
      <c r="B46" s="144" t="s">
        <v>402</v>
      </c>
      <c r="C46" s="136">
        <f>'2019 Inc Statement'!F39</f>
        <v>286306.65000000002</v>
      </c>
      <c r="D46" s="136"/>
      <c r="E46" s="137"/>
      <c r="G46" s="32"/>
    </row>
    <row r="47" spans="2:20" x14ac:dyDescent="0.25">
      <c r="B47" s="36" t="s">
        <v>403</v>
      </c>
      <c r="C47" s="32">
        <f>'2019 Inc Statement'!F38</f>
        <v>0</v>
      </c>
      <c r="D47" s="32"/>
      <c r="E47" s="37"/>
      <c r="G47" s="400" t="s">
        <v>714</v>
      </c>
      <c r="H47" s="400"/>
      <c r="I47" s="400"/>
      <c r="J47" s="400"/>
      <c r="K47" s="400"/>
      <c r="L47" s="400"/>
      <c r="M47" s="400"/>
      <c r="N47" s="400"/>
      <c r="O47" s="400"/>
      <c r="P47" s="400"/>
      <c r="Q47" s="400"/>
      <c r="R47" s="400"/>
      <c r="S47" s="400"/>
      <c r="T47" s="400"/>
    </row>
    <row r="48" spans="2:20" x14ac:dyDescent="0.25">
      <c r="B48" s="144" t="s">
        <v>404</v>
      </c>
      <c r="C48" s="136">
        <f>'2020 Inc Statement'!E42</f>
        <v>-283849.64</v>
      </c>
      <c r="D48" s="136"/>
      <c r="E48" s="137"/>
      <c r="G48" s="400"/>
      <c r="H48" s="400"/>
      <c r="I48" s="400"/>
      <c r="J48" s="400"/>
      <c r="K48" s="400"/>
      <c r="L48" s="400"/>
      <c r="M48" s="400"/>
      <c r="N48" s="400"/>
      <c r="O48" s="400"/>
      <c r="P48" s="400"/>
      <c r="Q48" s="400"/>
      <c r="R48" s="400"/>
      <c r="S48" s="400"/>
      <c r="T48" s="400"/>
    </row>
    <row r="49" spans="2:20" x14ac:dyDescent="0.25">
      <c r="B49" s="36" t="s">
        <v>405</v>
      </c>
      <c r="C49" s="32">
        <f>'2020 Inc Statement'!E41</f>
        <v>0</v>
      </c>
      <c r="D49" s="32"/>
      <c r="E49" s="37"/>
      <c r="G49" s="400"/>
      <c r="H49" s="400"/>
      <c r="I49" s="400"/>
      <c r="J49" s="400"/>
      <c r="K49" s="400"/>
      <c r="L49" s="400"/>
      <c r="M49" s="400"/>
      <c r="N49" s="400"/>
      <c r="O49" s="400"/>
      <c r="P49" s="400"/>
      <c r="Q49" s="400"/>
      <c r="R49" s="400"/>
      <c r="S49" s="400"/>
      <c r="T49" s="400"/>
    </row>
    <row r="50" spans="2:20" ht="15.75" x14ac:dyDescent="0.25">
      <c r="B50" s="138" t="s">
        <v>54</v>
      </c>
      <c r="C50" s="145"/>
      <c r="D50" s="145"/>
      <c r="E50" s="139">
        <f>ROUND(SUM(C44:C49),2)</f>
        <v>102457.01</v>
      </c>
      <c r="G50" s="400"/>
      <c r="H50" s="400"/>
      <c r="I50" s="400"/>
      <c r="J50" s="400"/>
      <c r="K50" s="400"/>
      <c r="L50" s="400"/>
      <c r="M50" s="400"/>
      <c r="N50" s="400"/>
      <c r="O50" s="400"/>
      <c r="P50" s="400"/>
      <c r="Q50" s="400"/>
      <c r="R50" s="400"/>
      <c r="S50" s="400"/>
      <c r="T50" s="400"/>
    </row>
    <row r="51" spans="2:20" x14ac:dyDescent="0.25">
      <c r="B51" s="10"/>
      <c r="E51" s="27"/>
      <c r="G51" s="400"/>
      <c r="H51" s="400"/>
      <c r="I51" s="400"/>
      <c r="J51" s="400"/>
      <c r="K51" s="400"/>
      <c r="L51" s="400"/>
      <c r="M51" s="400"/>
      <c r="N51" s="400"/>
      <c r="O51" s="400"/>
      <c r="P51" s="400"/>
      <c r="Q51" s="400"/>
      <c r="R51" s="400"/>
      <c r="S51" s="400"/>
      <c r="T51" s="400"/>
    </row>
    <row r="52" spans="2:20" x14ac:dyDescent="0.25">
      <c r="B52" s="23"/>
      <c r="C52" s="30"/>
      <c r="D52" s="30"/>
      <c r="E52" s="31"/>
      <c r="G52" s="400"/>
      <c r="H52" s="400"/>
      <c r="I52" s="400"/>
      <c r="J52" s="400"/>
      <c r="K52" s="400"/>
      <c r="L52" s="400"/>
      <c r="M52" s="400"/>
      <c r="N52" s="400"/>
      <c r="O52" s="400"/>
      <c r="P52" s="400"/>
      <c r="Q52" s="400"/>
      <c r="R52" s="400"/>
      <c r="S52" s="400"/>
      <c r="T52" s="400"/>
    </row>
  </sheetData>
  <sheetProtection algorithmName="SHA-512" hashValue="qO4shaNBgaIj1dfXwAnC/9pEpBNW3Xu3kxcTupUBm48SS5lSdysNQdRsBDlRUx7Eo99TOPwGOMxSBSTDERNKPQ==" saltValue="GvntnOLVj5hIonoIAjaL2Q==" spinCount="100000" sheet="1" objects="1" scenarios="1" formatColumns="0" formatRows="0" selectLockedCells="1"/>
  <mergeCells count="5">
    <mergeCell ref="B2:E2"/>
    <mergeCell ref="B3:E3"/>
    <mergeCell ref="B4:E4"/>
    <mergeCell ref="G13:M22"/>
    <mergeCell ref="G47:T52"/>
  </mergeCells>
  <pageMargins left="0.7" right="0.7" top="0.75" bottom="0.75" header="0.3" footer="0.3"/>
  <pageSetup paperSize="9" orientation="portrait" horizontalDpi="0" verticalDpi="0" r:id="rId1"/>
  <cellWatches>
    <cellWatch r="A1"/>
  </cellWatche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Z33"/>
  <sheetViews>
    <sheetView zoomScale="70" zoomScaleNormal="70" workbookViewId="0">
      <selection activeCell="E5" sqref="E5"/>
    </sheetView>
  </sheetViews>
  <sheetFormatPr defaultColWidth="8.85546875" defaultRowHeight="44.45" customHeight="1" x14ac:dyDescent="0.3"/>
  <cols>
    <col min="1" max="1" width="12.85546875" style="40" bestFit="1" customWidth="1"/>
    <col min="2" max="2" width="9.7109375" style="325" bestFit="1" customWidth="1"/>
    <col min="3" max="3" width="8.85546875" style="40"/>
    <col min="4" max="4" width="47.7109375" style="59" customWidth="1"/>
    <col min="5" max="5" width="23.7109375" style="326" customWidth="1"/>
    <col min="6" max="6" width="3.28515625" style="1" customWidth="1"/>
    <col min="7" max="7" width="39.5703125" style="12" customWidth="1"/>
    <col min="8" max="8" width="4.140625" style="1" customWidth="1"/>
    <col min="9" max="9" width="8.85546875" style="1"/>
    <col min="10" max="10" width="12.28515625" style="1" bestFit="1" customWidth="1"/>
    <col min="11" max="15" width="8.85546875" style="1"/>
    <col min="16" max="16" width="25.5703125" style="1" customWidth="1"/>
    <col min="17" max="17" width="3.7109375" style="1" customWidth="1"/>
    <col min="18" max="16384" width="8.85546875" style="1"/>
  </cols>
  <sheetData>
    <row r="1" spans="1:26" ht="53.1" customHeight="1" x14ac:dyDescent="0.3">
      <c r="A1" s="48" t="s">
        <v>62</v>
      </c>
      <c r="B1" s="312" t="s">
        <v>425</v>
      </c>
      <c r="C1" s="49"/>
      <c r="D1" s="313"/>
      <c r="E1" s="401" t="s">
        <v>704</v>
      </c>
      <c r="F1" s="438"/>
      <c r="G1" s="438"/>
      <c r="H1" s="438"/>
      <c r="I1" s="438"/>
      <c r="J1" s="438"/>
      <c r="K1" s="438"/>
      <c r="L1" s="438"/>
      <c r="M1" s="438"/>
      <c r="N1" s="438"/>
      <c r="O1" s="438"/>
      <c r="P1" s="438"/>
    </row>
    <row r="2" spans="1:26" ht="53.1" customHeight="1" thickBot="1" x14ac:dyDescent="0.35">
      <c r="A2" s="48"/>
      <c r="B2" s="402" t="s">
        <v>599</v>
      </c>
      <c r="C2" s="402"/>
      <c r="D2" s="402"/>
      <c r="E2" s="401"/>
      <c r="F2" s="438"/>
      <c r="G2" s="438"/>
      <c r="H2" s="438"/>
      <c r="I2" s="438"/>
      <c r="J2" s="438"/>
      <c r="K2" s="438"/>
      <c r="L2" s="438"/>
      <c r="M2" s="438"/>
      <c r="N2" s="438"/>
      <c r="O2" s="438"/>
      <c r="P2" s="438"/>
    </row>
    <row r="3" spans="1:26" ht="52.9" customHeight="1" thickTop="1" thickBot="1" x14ac:dyDescent="0.35">
      <c r="A3" s="48"/>
      <c r="B3" s="403"/>
      <c r="C3" s="404"/>
      <c r="D3" s="314" t="str">
        <f>"   Round this to: "&amp;TEXT(ROUND(B3,4),"#,##0.0000")</f>
        <v xml:space="preserve">   Round this to: 0.0000</v>
      </c>
      <c r="E3" s="438"/>
      <c r="F3" s="438"/>
      <c r="G3" s="438"/>
      <c r="H3" s="438"/>
      <c r="I3" s="438"/>
      <c r="J3" s="438"/>
      <c r="K3" s="438"/>
      <c r="L3" s="438"/>
      <c r="M3" s="438"/>
      <c r="N3" s="438"/>
      <c r="O3" s="438"/>
      <c r="P3" s="438"/>
    </row>
    <row r="4" spans="1:26" ht="72" customHeight="1" thickTop="1" thickBot="1" x14ac:dyDescent="0.35">
      <c r="A4" s="1"/>
      <c r="B4" s="315"/>
      <c r="C4" s="48" t="s">
        <v>427</v>
      </c>
      <c r="D4" s="50"/>
      <c r="E4" s="438"/>
      <c r="F4" s="438"/>
      <c r="G4" s="438"/>
      <c r="H4" s="438"/>
      <c r="I4" s="438"/>
      <c r="J4" s="438"/>
      <c r="K4" s="438"/>
      <c r="L4" s="438"/>
      <c r="M4" s="438"/>
      <c r="N4" s="438"/>
      <c r="O4" s="438"/>
      <c r="P4" s="438"/>
    </row>
    <row r="5" spans="1:26" s="55" customFormat="1" ht="53.1" customHeight="1" thickTop="1" thickBot="1" x14ac:dyDescent="0.35">
      <c r="A5" s="52"/>
      <c r="B5" s="316"/>
      <c r="C5" s="53"/>
      <c r="D5" s="54" t="s">
        <v>515</v>
      </c>
      <c r="E5" s="317"/>
      <c r="G5" s="318" t="str">
        <f>IF(OR(ISNUMBER(E5),E5=""),IF(ROUND(E5,4)=E5,"","PLEASE DO NOT INCLUDE ANY WORKINGS AND ROUND YOUR ANSWER TO 4 DECIMAL PLACES"),"ONLY INCLUDE YOUR ANSWER. DO NOT INCLUDE ANY WORKINGS")</f>
        <v/>
      </c>
      <c r="H5" s="71"/>
      <c r="I5" s="56"/>
      <c r="J5" s="56"/>
      <c r="K5" s="56"/>
      <c r="L5" s="56"/>
    </row>
    <row r="6" spans="1:26" ht="53.1" customHeight="1" thickTop="1" thickBot="1" x14ac:dyDescent="0.35">
      <c r="A6" s="52"/>
      <c r="B6" s="316"/>
      <c r="C6" s="49"/>
      <c r="D6" s="50" t="s">
        <v>516</v>
      </c>
      <c r="E6" s="317"/>
      <c r="G6" s="318" t="str">
        <f>IF(OR(ISNUMBER(E6),E6=""),IF(ROUND(E6,4)=E6,"","PLEASE DO NOT INCLUDE ANY WORKINGS AND ROUND YOUR ANSWER TO 4 DECIMAL PLACES"),"ONLY INCLUDE YOUR ANSWER. DO NOT INCLUDE ANY WORKINGS")</f>
        <v/>
      </c>
      <c r="H6" s="71"/>
      <c r="I6" s="51"/>
      <c r="J6" s="51"/>
      <c r="K6" s="51"/>
      <c r="L6" s="51"/>
    </row>
    <row r="7" spans="1:26" ht="53.1" customHeight="1" thickTop="1" thickBot="1" x14ac:dyDescent="0.35">
      <c r="A7" s="52"/>
      <c r="B7" s="316"/>
      <c r="C7" s="49"/>
      <c r="D7" s="50" t="s">
        <v>517</v>
      </c>
      <c r="E7" s="317"/>
      <c r="G7" s="318" t="str">
        <f>IF(OR(ISNUMBER(E7),E7=""),IF(ROUND(E7,4)=E7,"","PLEASE DO NOT INCLUDE ANY WORKINGS AND ROUND YOUR ANSWER TO 4 DECIMAL PLACES"),"ONLY INCLUDE YOUR ANSWER. DO NOT INCLUDE ANY WORKINGS")</f>
        <v/>
      </c>
      <c r="H7" s="71"/>
      <c r="I7" s="51"/>
      <c r="J7" s="51"/>
      <c r="K7" s="51"/>
      <c r="L7" s="51"/>
    </row>
    <row r="8" spans="1:26" ht="53.1" customHeight="1" thickTop="1" thickBot="1" x14ac:dyDescent="0.35">
      <c r="A8" s="52"/>
      <c r="B8" s="316"/>
      <c r="C8" s="49"/>
      <c r="D8" s="60" t="s">
        <v>518</v>
      </c>
      <c r="E8" s="317"/>
      <c r="G8" s="318" t="str">
        <f>IF(OR(ISNUMBER(E8),E8=""),IF(ROUND(E8,4)=E8,"","PLEASE DO NOT INCLUDE ANY WORKINGS AND ROUND YOUR ANSWER TO 4 DECIMAL PLACES"),"ONLY INCLUDE YOUR ANSWER. DO NOT INCLUDE ANY WORKINGS")</f>
        <v/>
      </c>
      <c r="H8" s="71"/>
      <c r="I8" s="51"/>
      <c r="J8" s="51"/>
      <c r="K8" s="51"/>
      <c r="L8" s="51"/>
    </row>
    <row r="9" spans="1:26" ht="53.1" customHeight="1" thickTop="1" thickBot="1" x14ac:dyDescent="0.35">
      <c r="A9" s="52"/>
      <c r="B9" s="316"/>
      <c r="C9" s="49"/>
      <c r="D9" s="50" t="s">
        <v>519</v>
      </c>
      <c r="E9" s="317"/>
      <c r="G9" s="318" t="str">
        <f>IF(OR(ISNUMBER(E9),E9=""),IF(ROUND(E9,4)=E9,"","PLEASE DO NOT INCLUDE ANY WORKINGS AND ROUND YOUR ANSWER TO 4 DECIMAL PLACES"),"ONLY INCLUDE YOUR ANSWER. DO NOT INCLUDE ANY WORKINGS")</f>
        <v/>
      </c>
      <c r="H9" s="71"/>
      <c r="I9" s="51"/>
      <c r="J9" s="51"/>
      <c r="K9" s="51"/>
      <c r="L9" s="51"/>
    </row>
    <row r="10" spans="1:26" ht="53.1" customHeight="1" thickTop="1" thickBot="1" x14ac:dyDescent="0.35">
      <c r="A10" s="52"/>
      <c r="B10" s="319"/>
      <c r="C10" s="48" t="s">
        <v>59</v>
      </c>
      <c r="D10" s="50"/>
      <c r="E10" s="320"/>
      <c r="F10" s="55"/>
      <c r="G10" s="318"/>
      <c r="H10" s="71"/>
      <c r="I10" s="51"/>
      <c r="J10" s="51"/>
      <c r="K10" s="51"/>
      <c r="L10" s="51"/>
    </row>
    <row r="11" spans="1:26" ht="53.1" customHeight="1" thickTop="1" thickBot="1" x14ac:dyDescent="0.35">
      <c r="A11" s="48"/>
      <c r="B11" s="316"/>
      <c r="C11" s="48"/>
      <c r="D11" s="50" t="s">
        <v>60</v>
      </c>
      <c r="E11" s="317"/>
      <c r="G11" s="318" t="str">
        <f t="shared" ref="G11:G16" si="0">IF(OR(ISNUMBER(E11),E11=""),IF(ROUND(E11,4)=E11,"","PLEASE DO NOT INCLUDE ANY WORKINGS AND ROUND YOUR ANSWER TO 4 DECIMAL PLACES"),"ONLY INCLUDE YOUR ANSWER. DO NOT INCLUDE ANY WORKINGS")</f>
        <v/>
      </c>
      <c r="H11" s="71"/>
      <c r="I11" s="51"/>
      <c r="J11" s="51"/>
      <c r="K11" s="51"/>
      <c r="L11" s="51"/>
    </row>
    <row r="12" spans="1:26" s="55" customFormat="1" ht="54.6" customHeight="1" thickTop="1" thickBot="1" x14ac:dyDescent="0.35">
      <c r="A12" s="52"/>
      <c r="B12" s="316"/>
      <c r="C12" s="53"/>
      <c r="D12" s="54" t="s">
        <v>457</v>
      </c>
      <c r="E12" s="317"/>
      <c r="G12" s="318" t="str">
        <f t="shared" si="0"/>
        <v/>
      </c>
      <c r="H12" s="71"/>
      <c r="I12" s="56"/>
      <c r="J12" s="56"/>
      <c r="K12" s="56"/>
      <c r="L12" s="56"/>
    </row>
    <row r="13" spans="1:26" s="55" customFormat="1" ht="70.7" customHeight="1" thickTop="1" thickBot="1" x14ac:dyDescent="0.35">
      <c r="A13" s="52"/>
      <c r="B13" s="316"/>
      <c r="C13" s="405" t="s">
        <v>757</v>
      </c>
      <c r="D13" s="406"/>
      <c r="E13" s="317"/>
      <c r="G13" s="318" t="str">
        <f t="shared" si="0"/>
        <v/>
      </c>
      <c r="H13" s="71"/>
      <c r="I13" s="56"/>
      <c r="J13" s="56"/>
      <c r="K13" s="56"/>
      <c r="L13" s="56"/>
    </row>
    <row r="14" spans="1:26" ht="70.150000000000006" customHeight="1" thickTop="1" thickBot="1" x14ac:dyDescent="0.35">
      <c r="A14" s="48"/>
      <c r="B14" s="316"/>
      <c r="C14" s="407" t="s">
        <v>709</v>
      </c>
      <c r="D14" s="408"/>
      <c r="E14" s="317"/>
      <c r="G14" s="318" t="str">
        <f t="shared" si="0"/>
        <v/>
      </c>
      <c r="H14" s="71"/>
      <c r="I14" s="51"/>
      <c r="J14" s="57"/>
      <c r="K14" s="51"/>
      <c r="L14" s="51"/>
      <c r="R14" s="340"/>
      <c r="S14" s="340"/>
      <c r="T14" s="340"/>
      <c r="U14" s="340"/>
      <c r="V14" s="340"/>
      <c r="W14" s="340"/>
      <c r="X14" s="340"/>
      <c r="Y14" s="340"/>
      <c r="Z14" s="340"/>
    </row>
    <row r="15" spans="1:26" s="55" customFormat="1" ht="83.1" customHeight="1" thickTop="1" thickBot="1" x14ac:dyDescent="0.35">
      <c r="A15" s="52"/>
      <c r="B15" s="316"/>
      <c r="C15" s="52"/>
      <c r="D15" s="60" t="s">
        <v>710</v>
      </c>
      <c r="E15" s="317"/>
      <c r="G15" s="318" t="str">
        <f t="shared" si="0"/>
        <v/>
      </c>
      <c r="H15" s="71"/>
      <c r="I15" s="56"/>
      <c r="J15" s="56"/>
      <c r="K15" s="56"/>
      <c r="L15" s="56"/>
      <c r="R15" s="340"/>
      <c r="S15" s="340"/>
      <c r="T15" s="340"/>
      <c r="U15" s="340"/>
      <c r="V15" s="340"/>
      <c r="W15" s="340"/>
      <c r="X15" s="340"/>
      <c r="Y15" s="340"/>
      <c r="Z15" s="340"/>
    </row>
    <row r="16" spans="1:26" ht="53.1" customHeight="1" thickTop="1" thickBot="1" x14ac:dyDescent="0.35">
      <c r="A16" s="48"/>
      <c r="B16" s="316"/>
      <c r="C16" s="48"/>
      <c r="D16" s="327" t="s">
        <v>711</v>
      </c>
      <c r="E16" s="317"/>
      <c r="G16" s="318" t="str">
        <f t="shared" si="0"/>
        <v/>
      </c>
      <c r="H16" s="71"/>
      <c r="I16" s="51"/>
      <c r="J16" s="57"/>
      <c r="K16" s="57"/>
      <c r="R16" s="343"/>
      <c r="S16" s="343"/>
      <c r="T16" s="343"/>
      <c r="U16" s="343"/>
      <c r="V16" s="343"/>
      <c r="W16" s="343"/>
      <c r="X16" s="343"/>
      <c r="Y16" s="343"/>
      <c r="Z16" s="343"/>
    </row>
    <row r="17" spans="1:13" ht="53.1" customHeight="1" thickTop="1" thickBot="1" x14ac:dyDescent="0.35">
      <c r="A17" s="48"/>
      <c r="B17" s="321"/>
      <c r="C17" s="48" t="s">
        <v>220</v>
      </c>
      <c r="D17" s="50"/>
      <c r="E17" s="322"/>
      <c r="F17" s="55"/>
      <c r="G17" s="318"/>
      <c r="H17" s="71"/>
      <c r="I17" s="51"/>
      <c r="J17" s="51"/>
      <c r="K17" s="51"/>
      <c r="L17" s="51"/>
    </row>
    <row r="18" spans="1:13" ht="53.1" customHeight="1" thickTop="1" thickBot="1" x14ac:dyDescent="0.35">
      <c r="A18" s="48"/>
      <c r="B18" s="316"/>
      <c r="C18" s="49"/>
      <c r="D18" s="50" t="s">
        <v>218</v>
      </c>
      <c r="E18" s="317"/>
      <c r="G18" s="318" t="str">
        <f>IF(OR(ISNUMBER(E18),E18=""),IF(ROUND(E18,4)=E18,"","PLEASE DO NOT INCLUDE ANY WORKINGS AND ROUND YOUR ANSWER TO 4 DECIMAL PLACES"),"ONLY INCLUDE YOUR ANSWER. DO NOT INCLUDE ANY WORKINGS")</f>
        <v/>
      </c>
      <c r="H18" s="71"/>
      <c r="I18" s="51"/>
      <c r="J18" s="51"/>
      <c r="K18" s="51"/>
      <c r="L18" s="51"/>
    </row>
    <row r="19" spans="1:13" ht="53.1" customHeight="1" thickTop="1" thickBot="1" x14ac:dyDescent="0.35">
      <c r="A19" s="48"/>
      <c r="B19" s="316"/>
      <c r="C19" s="49"/>
      <c r="D19" s="50" t="s">
        <v>219</v>
      </c>
      <c r="E19" s="317"/>
      <c r="G19" s="318" t="str">
        <f>IF(OR(ISNUMBER(E19),E19=""),IF(ROUND(E19,4)=E19,"","PLEASE DO NOT INCLUDE ANY WORKINGS AND ROUND YOUR ANSWER TO 4 DECIMAL PLACES"),"ONLY INCLUDE YOUR ANSWER. DO NOT INCLUDE ANY WORKINGS")</f>
        <v/>
      </c>
      <c r="H19" s="71"/>
      <c r="I19" s="51"/>
      <c r="J19" s="51"/>
      <c r="K19" s="51"/>
      <c r="L19" s="51"/>
    </row>
    <row r="20" spans="1:13" ht="53.1" customHeight="1" thickTop="1" thickBot="1" x14ac:dyDescent="0.35">
      <c r="A20" s="48"/>
      <c r="B20" s="316"/>
      <c r="C20" s="49"/>
      <c r="D20" s="50" t="s">
        <v>221</v>
      </c>
      <c r="E20" s="317"/>
      <c r="G20" s="318" t="str">
        <f>IF(OR(ISNUMBER(E20),E20=""),IF(ROUND(E20,4)=E20,"","PLEASE DO NOT INCLUDE ANY WORKINGS AND ROUND YOUR ANSWER TO 4 DECIMAL PLACES"),"ONLY INCLUDE YOUR ANSWER. DO NOT INCLUDE ANY WORKINGS")</f>
        <v/>
      </c>
      <c r="H20" s="71"/>
      <c r="I20" s="51"/>
      <c r="J20" s="51"/>
      <c r="K20" s="51"/>
      <c r="L20" s="51"/>
    </row>
    <row r="21" spans="1:13" s="55" customFormat="1" ht="53.1" customHeight="1" thickTop="1" thickBot="1" x14ac:dyDescent="0.35">
      <c r="A21" s="52"/>
      <c r="B21" s="316"/>
      <c r="C21" s="53"/>
      <c r="D21" s="54" t="s">
        <v>676</v>
      </c>
      <c r="E21" s="317"/>
      <c r="G21" s="318" t="str">
        <f>IF(OR(ISNUMBER(E21),E21=""),IF(ROUND(E21,4)=E21,"","PLEASE DO NOT INCLUDE ANY WORKINGS AND ROUND YOUR ANSWER TO 4 DECIMAL PLACES"),"ONLY INCLUDE YOUR ANSWER. DO NOT INCLUDE ANY WORKINGS")</f>
        <v/>
      </c>
      <c r="H21" s="71"/>
      <c r="I21" s="56"/>
      <c r="J21" s="56"/>
      <c r="K21" s="56"/>
      <c r="L21" s="56"/>
    </row>
    <row r="22" spans="1:13" ht="53.1" customHeight="1" thickTop="1" x14ac:dyDescent="0.3">
      <c r="A22" s="48"/>
      <c r="B22" s="321"/>
      <c r="C22" s="48"/>
      <c r="D22" s="50"/>
      <c r="E22" s="322"/>
      <c r="F22" s="51"/>
      <c r="G22" s="231"/>
      <c r="H22" s="71"/>
      <c r="I22" s="62"/>
      <c r="J22" s="61"/>
      <c r="K22" s="61"/>
      <c r="L22" s="61"/>
      <c r="M22" s="61"/>
    </row>
    <row r="23" spans="1:13" ht="44.45" customHeight="1" x14ac:dyDescent="0.25">
      <c r="A23" s="1"/>
      <c r="B23" s="323"/>
      <c r="C23" s="1"/>
      <c r="D23" s="50"/>
      <c r="E23" s="322"/>
      <c r="F23" s="51"/>
      <c r="G23" s="231"/>
      <c r="I23" s="51"/>
      <c r="J23" s="51"/>
      <c r="K23" s="51"/>
      <c r="L23" s="51"/>
    </row>
    <row r="24" spans="1:13" ht="44.45" customHeight="1" x14ac:dyDescent="0.25">
      <c r="A24" s="1"/>
      <c r="B24" s="323"/>
      <c r="C24" s="1"/>
      <c r="D24" s="50"/>
      <c r="E24" s="322"/>
      <c r="F24" s="51"/>
      <c r="G24" s="231"/>
      <c r="H24" s="51"/>
      <c r="I24" s="51"/>
      <c r="J24" s="51"/>
      <c r="K24" s="51"/>
      <c r="L24" s="51"/>
    </row>
    <row r="25" spans="1:13" ht="44.45" customHeight="1" x14ac:dyDescent="0.25">
      <c r="A25" s="1"/>
      <c r="B25" s="323"/>
      <c r="C25" s="1"/>
      <c r="D25" s="50"/>
      <c r="E25" s="322"/>
      <c r="F25" s="51"/>
      <c r="G25" s="231"/>
      <c r="H25" s="51"/>
      <c r="I25" s="51"/>
      <c r="J25" s="51"/>
      <c r="K25" s="51"/>
      <c r="L25" s="51"/>
    </row>
    <row r="26" spans="1:13" ht="44.45" customHeight="1" x14ac:dyDescent="0.25">
      <c r="A26" s="1"/>
      <c r="B26" s="323"/>
      <c r="C26" s="1"/>
      <c r="D26" s="50"/>
      <c r="E26" s="322"/>
      <c r="F26" s="51"/>
      <c r="G26" s="231"/>
      <c r="H26" s="51"/>
      <c r="I26" s="51"/>
      <c r="J26" s="51"/>
      <c r="K26" s="51"/>
      <c r="L26" s="51"/>
    </row>
    <row r="27" spans="1:13" ht="44.45" customHeight="1" x14ac:dyDescent="0.25">
      <c r="A27" s="1"/>
      <c r="B27" s="323"/>
      <c r="C27" s="1"/>
      <c r="D27" s="50"/>
      <c r="E27" s="322"/>
      <c r="F27" s="51"/>
      <c r="G27" s="231"/>
      <c r="H27" s="51"/>
      <c r="I27" s="51"/>
      <c r="J27" s="51"/>
      <c r="K27" s="51"/>
      <c r="L27" s="51"/>
    </row>
    <row r="28" spans="1:13" ht="44.45" customHeight="1" x14ac:dyDescent="0.25">
      <c r="A28" s="1"/>
      <c r="B28" s="323"/>
      <c r="C28" s="1"/>
      <c r="D28" s="50"/>
      <c r="E28" s="322"/>
      <c r="F28" s="51"/>
      <c r="G28" s="231"/>
      <c r="H28" s="51"/>
      <c r="I28" s="51"/>
      <c r="J28" s="51"/>
      <c r="K28" s="51"/>
      <c r="L28" s="51"/>
    </row>
    <row r="29" spans="1:13" ht="44.45" customHeight="1" x14ac:dyDescent="0.25">
      <c r="A29" s="1"/>
      <c r="B29" s="323"/>
      <c r="C29" s="1"/>
      <c r="D29" s="50"/>
      <c r="E29" s="324"/>
      <c r="F29" s="58"/>
      <c r="G29" s="233"/>
      <c r="H29" s="58"/>
      <c r="I29" s="58"/>
      <c r="J29" s="58"/>
      <c r="K29" s="58"/>
      <c r="L29" s="58"/>
    </row>
    <row r="30" spans="1:13" ht="44.45" customHeight="1" x14ac:dyDescent="0.25">
      <c r="A30" s="1"/>
      <c r="B30" s="323"/>
      <c r="C30" s="1"/>
      <c r="D30" s="50"/>
      <c r="E30" s="324"/>
      <c r="F30" s="58"/>
      <c r="G30" s="233"/>
      <c r="H30" s="58"/>
      <c r="I30" s="58"/>
      <c r="J30" s="58"/>
      <c r="K30" s="58"/>
      <c r="L30" s="58"/>
    </row>
    <row r="31" spans="1:13" ht="44.45" customHeight="1" x14ac:dyDescent="0.25">
      <c r="A31" s="1"/>
      <c r="B31" s="323"/>
      <c r="C31" s="1"/>
      <c r="D31" s="50"/>
      <c r="E31" s="324"/>
      <c r="F31" s="58"/>
      <c r="G31" s="233"/>
      <c r="H31" s="58"/>
      <c r="I31" s="58"/>
      <c r="J31" s="58"/>
      <c r="K31" s="58"/>
      <c r="L31" s="58"/>
    </row>
    <row r="32" spans="1:13" ht="44.45" customHeight="1" x14ac:dyDescent="0.25">
      <c r="A32" s="1"/>
      <c r="B32" s="323"/>
      <c r="C32" s="1"/>
      <c r="D32" s="50"/>
      <c r="E32" s="324"/>
      <c r="F32" s="58"/>
      <c r="G32" s="233"/>
      <c r="H32" s="58"/>
      <c r="I32" s="58"/>
      <c r="J32" s="58"/>
      <c r="K32" s="58"/>
      <c r="L32" s="58"/>
    </row>
    <row r="33" spans="1:12" ht="44.45" customHeight="1" x14ac:dyDescent="0.25">
      <c r="A33" s="1"/>
      <c r="B33" s="323"/>
      <c r="C33" s="1"/>
      <c r="D33" s="50"/>
      <c r="E33" s="324"/>
      <c r="F33" s="58"/>
      <c r="G33" s="233"/>
      <c r="H33" s="58"/>
      <c r="I33" s="58"/>
      <c r="J33" s="58"/>
      <c r="K33" s="58"/>
      <c r="L33" s="58"/>
    </row>
  </sheetData>
  <sheetProtection algorithmName="SHA-512" hashValue="xlQ1tESJWKYwqxI7LfxDmKCHS1+H7djq8p5RVwvlfu8HSuX1JoyFCyp6+WDbprIUsq5BV1SzHMz6I5brtJN3Pg==" saltValue="ftWH9WQ61qBInGAPPZ62Eg==" spinCount="100000" sheet="1" objects="1" scenarios="1" formatColumns="0" formatRows="0"/>
  <protectedRanges>
    <protectedRange sqref="B3:C3" name="Range4"/>
    <protectedRange sqref="E11:E16" name="Range2"/>
    <protectedRange sqref="E5:E9" name="Range1"/>
    <protectedRange sqref="E18:E21" name="Range3"/>
  </protectedRanges>
  <mergeCells count="8">
    <mergeCell ref="R16:Z16"/>
    <mergeCell ref="E1:P4"/>
    <mergeCell ref="B2:D2"/>
    <mergeCell ref="B3:C3"/>
    <mergeCell ref="R14:Z14"/>
    <mergeCell ref="R15:Z15"/>
    <mergeCell ref="C13:D13"/>
    <mergeCell ref="C14:D14"/>
  </mergeCells>
  <conditionalFormatting sqref="B3">
    <cfRule type="expression" dxfId="15" priority="1">
      <formula>$E$5&lt;&gt;ROUND($E$5,4)</formula>
    </cfRule>
  </conditionalFormatting>
  <conditionalFormatting sqref="E5">
    <cfRule type="expression" dxfId="14" priority="17">
      <formula>$E$5&lt;&gt;ROUND($E$5,4)</formula>
    </cfRule>
  </conditionalFormatting>
  <conditionalFormatting sqref="E6">
    <cfRule type="expression" dxfId="13" priority="15">
      <formula>$E$6&lt;&gt;ROUND($E$6,4)</formula>
    </cfRule>
  </conditionalFormatting>
  <conditionalFormatting sqref="E7">
    <cfRule type="expression" dxfId="12" priority="14">
      <formula>$E$7&lt;&gt;ROUND($E$7,4)</formula>
    </cfRule>
  </conditionalFormatting>
  <conditionalFormatting sqref="E8">
    <cfRule type="expression" dxfId="11" priority="13">
      <formula>$E$8&lt;&gt;ROUND($E$8,4)</formula>
    </cfRule>
  </conditionalFormatting>
  <conditionalFormatting sqref="E9">
    <cfRule type="expression" dxfId="10" priority="12">
      <formula>$E$9&lt;&gt;ROUND($E$9,4)</formula>
    </cfRule>
  </conditionalFormatting>
  <conditionalFormatting sqref="E11">
    <cfRule type="expression" dxfId="9" priority="11">
      <formula>$E$11&lt;&gt;ROUND($E$11,4)</formula>
    </cfRule>
  </conditionalFormatting>
  <conditionalFormatting sqref="E12">
    <cfRule type="expression" dxfId="8" priority="10">
      <formula>$E$12&lt;&gt;ROUND($E$12,4)</formula>
    </cfRule>
  </conditionalFormatting>
  <conditionalFormatting sqref="E13">
    <cfRule type="expression" dxfId="7" priority="9">
      <formula>$E$13&lt;&gt;ROUND($E$13,4)</formula>
    </cfRule>
  </conditionalFormatting>
  <conditionalFormatting sqref="E14">
    <cfRule type="expression" dxfId="6" priority="8">
      <formula>$E$14&lt;&gt;ROUND($E$14,4)</formula>
    </cfRule>
  </conditionalFormatting>
  <conditionalFormatting sqref="E15">
    <cfRule type="expression" dxfId="5" priority="7">
      <formula>$E$15&lt;&gt;ROUND($E$15,4)</formula>
    </cfRule>
  </conditionalFormatting>
  <conditionalFormatting sqref="E16">
    <cfRule type="expression" dxfId="4" priority="6">
      <formula>$E$16&lt;&gt;ROUND($E$16,4)</formula>
    </cfRule>
  </conditionalFormatting>
  <conditionalFormatting sqref="E18">
    <cfRule type="expression" dxfId="3" priority="5">
      <formula>$E$18&lt;&gt;ROUND($E$18,4)</formula>
    </cfRule>
  </conditionalFormatting>
  <conditionalFormatting sqref="E19">
    <cfRule type="expression" dxfId="2" priority="4">
      <formula>$E$19&lt;&gt;ROUND($E$19,4)</formula>
    </cfRule>
  </conditionalFormatting>
  <conditionalFormatting sqref="E20">
    <cfRule type="expression" dxfId="1" priority="3">
      <formula>$E$20&lt;&gt;ROUND($E$20,4)</formula>
    </cfRule>
  </conditionalFormatting>
  <conditionalFormatting sqref="E21">
    <cfRule type="expression" dxfId="0" priority="2">
      <formula>$E$21&lt;&gt;ROUND($E$21,4)</formula>
    </cfRule>
  </conditionalFormatting>
  <dataValidations count="1">
    <dataValidation type="decimal" allowBlank="1" showErrorMessage="1" error="Only input your answer to four decimal places. Do not include any workings" sqref="E5:E9 E11:E16 E18:E21" xr:uid="{00000000-0002-0000-1E00-000000000000}">
      <formula1>-99999999999999</formula1>
      <formula2>999999999999999</formula2>
    </dataValidation>
  </dataValidations>
  <pageMargins left="0.7" right="0.7" top="0.75" bottom="0.75" header="0.3" footer="0.3"/>
  <pageSetup paperSize="9" orientation="portrait" r:id="rId1"/>
  <cellWatches>
    <cellWatch r="A2"/>
  </cellWatche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P31"/>
  <sheetViews>
    <sheetView zoomScale="85" zoomScaleNormal="85" workbookViewId="0">
      <selection activeCell="D3" sqref="D3"/>
    </sheetView>
  </sheetViews>
  <sheetFormatPr defaultColWidth="8.85546875" defaultRowHeight="44.45" customHeight="1" x14ac:dyDescent="0.3"/>
  <cols>
    <col min="1" max="1" width="8.85546875" style="173"/>
    <col min="2" max="2" width="8.85546875" style="40"/>
    <col min="3" max="3" width="47.7109375" style="59" customWidth="1"/>
    <col min="4" max="4" width="20" style="234" customWidth="1"/>
    <col min="5" max="5" width="11.7109375" style="12" customWidth="1"/>
    <col min="6" max="6" width="20" style="234" customWidth="1"/>
    <col min="7" max="7" width="4" style="1" customWidth="1"/>
    <col min="8" max="8" width="4.140625" style="1" customWidth="1"/>
    <col min="9" max="9" width="8.85546875" style="1"/>
    <col min="10" max="10" width="12.28515625" style="1" bestFit="1" customWidth="1"/>
    <col min="11" max="15" width="8.85546875" style="1"/>
    <col min="16" max="16" width="25.5703125" style="1" customWidth="1"/>
    <col min="17" max="16384" width="8.85546875" style="1"/>
  </cols>
  <sheetData>
    <row r="1" spans="1:16" ht="107.65" customHeight="1" x14ac:dyDescent="0.3">
      <c r="A1" s="166"/>
      <c r="B1" s="439" t="s">
        <v>712</v>
      </c>
      <c r="C1" s="439"/>
      <c r="D1" s="439"/>
      <c r="E1" s="439"/>
      <c r="F1" s="439"/>
      <c r="G1" s="439"/>
      <c r="H1" s="439"/>
      <c r="I1" s="439"/>
      <c r="J1" s="439"/>
      <c r="K1" s="439"/>
      <c r="L1" s="439"/>
      <c r="M1" s="439"/>
      <c r="N1" s="439"/>
      <c r="O1" s="439"/>
      <c r="P1" s="229"/>
    </row>
    <row r="2" spans="1:16" ht="53.1" customHeight="1" thickBot="1" x14ac:dyDescent="0.35">
      <c r="A2" s="168"/>
      <c r="B2" s="48" t="s">
        <v>427</v>
      </c>
      <c r="C2" s="50"/>
      <c r="D2" s="235" t="s">
        <v>602</v>
      </c>
      <c r="E2" s="235"/>
      <c r="F2" s="235" t="s">
        <v>603</v>
      </c>
      <c r="G2" s="229"/>
      <c r="H2" s="229"/>
      <c r="I2" s="229"/>
      <c r="J2" s="229"/>
      <c r="K2" s="229"/>
      <c r="L2" s="229"/>
      <c r="M2" s="229"/>
      <c r="N2" s="229"/>
      <c r="O2" s="229"/>
      <c r="P2" s="229"/>
    </row>
    <row r="3" spans="1:16" s="55" customFormat="1" ht="53.1" customHeight="1" thickTop="1" thickBot="1" x14ac:dyDescent="0.3">
      <c r="A3" s="169"/>
      <c r="B3" s="53"/>
      <c r="C3" s="54" t="s">
        <v>515</v>
      </c>
      <c r="D3" s="236">
        <f>'2019 Ratio Analysis'!E5</f>
        <v>0</v>
      </c>
      <c r="E3" s="237"/>
      <c r="F3" s="236">
        <f>'2020 Ratio Analysis'!E5</f>
        <v>0</v>
      </c>
      <c r="G3" s="238"/>
      <c r="H3" s="71"/>
      <c r="I3" s="56"/>
      <c r="J3" s="56"/>
      <c r="K3" s="56"/>
      <c r="L3" s="56"/>
    </row>
    <row r="4" spans="1:16" ht="53.1" customHeight="1" thickTop="1" thickBot="1" x14ac:dyDescent="0.3">
      <c r="A4" s="169"/>
      <c r="B4" s="49"/>
      <c r="C4" s="50" t="s">
        <v>516</v>
      </c>
      <c r="D4" s="236">
        <f>'2019 Ratio Analysis'!E6</f>
        <v>0</v>
      </c>
      <c r="F4" s="236">
        <f>'2020 Ratio Analysis'!E6</f>
        <v>0</v>
      </c>
      <c r="G4" s="238"/>
      <c r="H4" s="71"/>
      <c r="I4" s="51"/>
      <c r="J4" s="51"/>
      <c r="K4" s="51"/>
      <c r="L4" s="51"/>
    </row>
    <row r="5" spans="1:16" ht="53.1" customHeight="1" thickTop="1" thickBot="1" x14ac:dyDescent="0.3">
      <c r="A5" s="169"/>
      <c r="B5" s="49"/>
      <c r="C5" s="50" t="s">
        <v>517</v>
      </c>
      <c r="D5" s="236">
        <f>'2019 Ratio Analysis'!E7</f>
        <v>0</v>
      </c>
      <c r="F5" s="236">
        <f>'2020 Ratio Analysis'!E7</f>
        <v>0</v>
      </c>
      <c r="G5" s="238"/>
      <c r="H5" s="71"/>
      <c r="I5" s="51"/>
      <c r="J5" s="51"/>
      <c r="K5" s="51"/>
      <c r="L5" s="51"/>
    </row>
    <row r="6" spans="1:16" ht="53.1" customHeight="1" thickTop="1" thickBot="1" x14ac:dyDescent="0.3">
      <c r="A6" s="169"/>
      <c r="B6" s="49"/>
      <c r="C6" s="60" t="s">
        <v>518</v>
      </c>
      <c r="D6" s="236">
        <f>'2019 Ratio Analysis'!E8</f>
        <v>0</v>
      </c>
      <c r="F6" s="236">
        <f>'2020 Ratio Analysis'!E8</f>
        <v>0</v>
      </c>
      <c r="G6" s="238"/>
      <c r="H6" s="71"/>
      <c r="I6" s="51"/>
      <c r="J6" s="51"/>
      <c r="K6" s="51"/>
      <c r="L6" s="51"/>
    </row>
    <row r="7" spans="1:16" ht="53.1" customHeight="1" thickTop="1" thickBot="1" x14ac:dyDescent="0.3">
      <c r="A7" s="169"/>
      <c r="B7" s="49"/>
      <c r="C7" s="50" t="s">
        <v>519</v>
      </c>
      <c r="D7" s="236">
        <f>'2019 Ratio Analysis'!E9</f>
        <v>0</v>
      </c>
      <c r="F7" s="236">
        <f>'2020 Ratio Analysis'!E9</f>
        <v>0</v>
      </c>
      <c r="G7" s="238"/>
      <c r="H7" s="71"/>
      <c r="I7" s="51"/>
      <c r="J7" s="51"/>
      <c r="K7" s="51"/>
      <c r="L7" s="51"/>
    </row>
    <row r="8" spans="1:16" ht="53.1" customHeight="1" thickTop="1" thickBot="1" x14ac:dyDescent="0.35">
      <c r="A8" s="170"/>
      <c r="B8" s="48" t="s">
        <v>59</v>
      </c>
      <c r="C8" s="50"/>
      <c r="D8" s="239"/>
      <c r="E8" s="237"/>
      <c r="F8" s="239"/>
      <c r="G8" s="238"/>
      <c r="H8" s="71"/>
      <c r="I8" s="51"/>
      <c r="J8" s="51"/>
      <c r="K8" s="51"/>
      <c r="L8" s="51"/>
    </row>
    <row r="9" spans="1:16" ht="53.1" customHeight="1" thickTop="1" thickBot="1" x14ac:dyDescent="0.35">
      <c r="A9" s="169"/>
      <c r="B9" s="48"/>
      <c r="C9" s="50" t="s">
        <v>60</v>
      </c>
      <c r="D9" s="236">
        <f>'2019 Ratio Analysis'!E11</f>
        <v>0</v>
      </c>
      <c r="F9" s="236">
        <f>'2020 Ratio Analysis'!E11</f>
        <v>0</v>
      </c>
      <c r="G9" s="238"/>
      <c r="H9" s="71"/>
      <c r="I9" s="51"/>
      <c r="J9" s="51"/>
      <c r="K9" s="51"/>
      <c r="L9" s="51"/>
    </row>
    <row r="10" spans="1:16" s="55" customFormat="1" ht="54.6" customHeight="1" thickTop="1" thickBot="1" x14ac:dyDescent="0.3">
      <c r="A10" s="169"/>
      <c r="B10" s="53"/>
      <c r="C10" s="54" t="s">
        <v>457</v>
      </c>
      <c r="D10" s="236">
        <f>'2019 Ratio Analysis'!E12</f>
        <v>0</v>
      </c>
      <c r="E10" s="237"/>
      <c r="F10" s="236">
        <f>'2020 Ratio Analysis'!E12</f>
        <v>0</v>
      </c>
      <c r="G10" s="238"/>
      <c r="H10" s="71"/>
      <c r="I10" s="56"/>
      <c r="J10" s="56"/>
      <c r="K10" s="56"/>
      <c r="L10" s="56"/>
    </row>
    <row r="11" spans="1:16" s="55" customFormat="1" ht="53.1" customHeight="1" thickTop="1" thickBot="1" x14ac:dyDescent="0.35">
      <c r="A11" s="169"/>
      <c r="B11" s="52"/>
      <c r="C11" s="54" t="s">
        <v>520</v>
      </c>
      <c r="D11" s="236">
        <f>'2019 Ratio Analysis'!E13</f>
        <v>0</v>
      </c>
      <c r="E11" s="237"/>
      <c r="F11" s="236">
        <f>'2020 Ratio Analysis'!E13</f>
        <v>0</v>
      </c>
      <c r="G11" s="238"/>
      <c r="H11" s="71"/>
      <c r="I11" s="56"/>
      <c r="J11" s="56"/>
      <c r="K11" s="56"/>
      <c r="L11" s="56"/>
    </row>
    <row r="12" spans="1:16" ht="53.1" customHeight="1" thickTop="1" thickBot="1" x14ac:dyDescent="0.35">
      <c r="A12" s="169"/>
      <c r="B12" s="48"/>
      <c r="C12" s="50" t="s">
        <v>61</v>
      </c>
      <c r="D12" s="236">
        <f>'2019 Ratio Analysis'!E14</f>
        <v>0</v>
      </c>
      <c r="F12" s="236">
        <f>'2020 Ratio Analysis'!E14</f>
        <v>0</v>
      </c>
      <c r="G12" s="238"/>
      <c r="H12" s="71"/>
      <c r="I12" s="51"/>
      <c r="J12" s="57"/>
      <c r="K12" s="51"/>
      <c r="L12" s="51"/>
    </row>
    <row r="13" spans="1:16" s="55" customFormat="1" ht="83.1" customHeight="1" thickTop="1" thickBot="1" x14ac:dyDescent="0.35">
      <c r="A13" s="169"/>
      <c r="B13" s="52"/>
      <c r="C13" s="60" t="s">
        <v>586</v>
      </c>
      <c r="D13" s="236">
        <f>'2019 Ratio Analysis'!E15</f>
        <v>0</v>
      </c>
      <c r="E13" s="237"/>
      <c r="F13" s="236">
        <f>'2020 Ratio Analysis'!E15</f>
        <v>0</v>
      </c>
      <c r="G13" s="238"/>
      <c r="H13" s="71"/>
      <c r="I13" s="56"/>
      <c r="J13" s="56"/>
      <c r="K13" s="56"/>
      <c r="L13" s="56"/>
    </row>
    <row r="14" spans="1:16" ht="53.1" customHeight="1" thickTop="1" thickBot="1" x14ac:dyDescent="0.35">
      <c r="A14" s="169"/>
      <c r="B14" s="48"/>
      <c r="C14" s="240" t="s">
        <v>601</v>
      </c>
      <c r="D14" s="236">
        <f>'2019 Ratio Analysis'!E16</f>
        <v>0</v>
      </c>
      <c r="F14" s="236">
        <f>'2020 Ratio Analysis'!E16</f>
        <v>0</v>
      </c>
      <c r="G14" s="238"/>
      <c r="H14" s="71"/>
      <c r="I14" s="51"/>
      <c r="J14" s="57"/>
      <c r="K14" s="57"/>
    </row>
    <row r="15" spans="1:16" ht="53.1" customHeight="1" thickTop="1" thickBot="1" x14ac:dyDescent="0.35">
      <c r="A15" s="171"/>
      <c r="B15" s="48" t="s">
        <v>220</v>
      </c>
      <c r="C15" s="50"/>
      <c r="D15" s="230"/>
      <c r="E15" s="237"/>
      <c r="F15" s="230"/>
      <c r="G15" s="238"/>
      <c r="H15" s="71"/>
      <c r="I15" s="51"/>
      <c r="J15" s="51"/>
      <c r="K15" s="51"/>
      <c r="L15" s="51"/>
    </row>
    <row r="16" spans="1:16" ht="53.1" customHeight="1" thickTop="1" thickBot="1" x14ac:dyDescent="0.3">
      <c r="A16" s="169"/>
      <c r="B16" s="49"/>
      <c r="C16" s="50" t="s">
        <v>218</v>
      </c>
      <c r="D16" s="236">
        <f>'2019 Ratio Analysis'!E18</f>
        <v>0</v>
      </c>
      <c r="F16" s="236">
        <f>'2020 Ratio Analysis'!E18</f>
        <v>0</v>
      </c>
      <c r="G16" s="238"/>
      <c r="H16" s="71"/>
      <c r="I16" s="51"/>
      <c r="J16" s="51"/>
      <c r="K16" s="51"/>
      <c r="L16" s="51"/>
    </row>
    <row r="17" spans="1:13" ht="53.1" customHeight="1" thickTop="1" thickBot="1" x14ac:dyDescent="0.3">
      <c r="A17" s="169"/>
      <c r="B17" s="49"/>
      <c r="C17" s="50" t="s">
        <v>219</v>
      </c>
      <c r="D17" s="236">
        <f>'2019 Ratio Analysis'!E19</f>
        <v>0</v>
      </c>
      <c r="F17" s="236">
        <f>'2020 Ratio Analysis'!E19</f>
        <v>0</v>
      </c>
      <c r="G17" s="238"/>
      <c r="H17" s="71"/>
      <c r="I17" s="51"/>
      <c r="J17" s="51"/>
      <c r="K17" s="51"/>
      <c r="L17" s="51"/>
    </row>
    <row r="18" spans="1:13" ht="53.1" customHeight="1" thickTop="1" thickBot="1" x14ac:dyDescent="0.3">
      <c r="A18" s="169"/>
      <c r="B18" s="49"/>
      <c r="C18" s="50" t="s">
        <v>221</v>
      </c>
      <c r="D18" s="236">
        <f>'2019 Ratio Analysis'!E20</f>
        <v>0</v>
      </c>
      <c r="F18" s="236">
        <f>'2020 Ratio Analysis'!E20</f>
        <v>0</v>
      </c>
      <c r="G18" s="238"/>
      <c r="H18" s="71"/>
      <c r="I18" s="51"/>
      <c r="J18" s="51"/>
      <c r="K18" s="51"/>
      <c r="L18" s="51"/>
    </row>
    <row r="19" spans="1:13" s="55" customFormat="1" ht="53.1" customHeight="1" thickTop="1" thickBot="1" x14ac:dyDescent="0.3">
      <c r="A19" s="169"/>
      <c r="B19" s="53"/>
      <c r="C19" s="54" t="s">
        <v>676</v>
      </c>
      <c r="D19" s="236">
        <f>'2019 Ratio Analysis'!E21</f>
        <v>0</v>
      </c>
      <c r="E19" s="237"/>
      <c r="F19" s="236">
        <f>'2020 Ratio Analysis'!E21</f>
        <v>0</v>
      </c>
      <c r="G19" s="238"/>
      <c r="H19" s="71"/>
      <c r="I19" s="56"/>
      <c r="J19" s="56"/>
      <c r="K19" s="56"/>
      <c r="L19" s="56"/>
    </row>
    <row r="20" spans="1:13" ht="53.1" customHeight="1" thickTop="1" x14ac:dyDescent="0.3">
      <c r="A20" s="172"/>
      <c r="B20" s="48"/>
      <c r="C20" s="50"/>
      <c r="D20" s="230"/>
      <c r="E20" s="231"/>
      <c r="F20" s="230"/>
      <c r="G20" s="51"/>
      <c r="H20" s="71"/>
      <c r="I20" s="62"/>
      <c r="J20" s="61"/>
      <c r="K20" s="61"/>
      <c r="L20" s="61"/>
      <c r="M20" s="61"/>
    </row>
    <row r="21" spans="1:13" ht="44.45" customHeight="1" x14ac:dyDescent="0.25">
      <c r="A21" s="167"/>
      <c r="B21" s="1"/>
      <c r="C21" s="50"/>
      <c r="D21" s="230"/>
      <c r="E21" s="231"/>
      <c r="F21" s="230"/>
      <c r="G21" s="51"/>
      <c r="I21" s="51"/>
      <c r="J21" s="51"/>
      <c r="K21" s="51"/>
      <c r="L21" s="51"/>
    </row>
    <row r="22" spans="1:13" ht="44.45" customHeight="1" x14ac:dyDescent="0.25">
      <c r="A22" s="167"/>
      <c r="B22" s="1"/>
      <c r="C22" s="50"/>
      <c r="D22" s="230"/>
      <c r="E22" s="231"/>
      <c r="F22" s="230"/>
      <c r="G22" s="51"/>
      <c r="H22" s="51"/>
      <c r="I22" s="51"/>
      <c r="J22" s="51"/>
      <c r="K22" s="51"/>
      <c r="L22" s="51"/>
    </row>
    <row r="23" spans="1:13" ht="44.45" customHeight="1" x14ac:dyDescent="0.25">
      <c r="A23" s="167"/>
      <c r="B23" s="1"/>
      <c r="C23" s="50"/>
      <c r="D23" s="230"/>
      <c r="E23" s="231"/>
      <c r="F23" s="230"/>
      <c r="G23" s="51"/>
      <c r="H23" s="51"/>
      <c r="I23" s="51"/>
      <c r="J23" s="51"/>
      <c r="K23" s="51"/>
      <c r="L23" s="51"/>
    </row>
    <row r="24" spans="1:13" ht="44.45" customHeight="1" x14ac:dyDescent="0.25">
      <c r="A24" s="167"/>
      <c r="B24" s="1"/>
      <c r="C24" s="50"/>
      <c r="D24" s="230"/>
      <c r="E24" s="231"/>
      <c r="F24" s="230"/>
      <c r="G24" s="51"/>
      <c r="H24" s="51"/>
      <c r="I24" s="51"/>
      <c r="J24" s="51"/>
      <c r="K24" s="51"/>
      <c r="L24" s="51"/>
    </row>
    <row r="25" spans="1:13" ht="44.45" customHeight="1" x14ac:dyDescent="0.25">
      <c r="A25" s="167"/>
      <c r="B25" s="1"/>
      <c r="C25" s="50"/>
      <c r="D25" s="230"/>
      <c r="E25" s="231"/>
      <c r="F25" s="230"/>
      <c r="G25" s="51"/>
      <c r="H25" s="51"/>
      <c r="I25" s="51"/>
      <c r="J25" s="51"/>
      <c r="K25" s="51"/>
      <c r="L25" s="51"/>
    </row>
    <row r="26" spans="1:13" ht="44.45" customHeight="1" x14ac:dyDescent="0.25">
      <c r="A26" s="167"/>
      <c r="B26" s="1"/>
      <c r="C26" s="50"/>
      <c r="D26" s="230"/>
      <c r="E26" s="231"/>
      <c r="F26" s="230"/>
      <c r="G26" s="51"/>
      <c r="H26" s="51"/>
      <c r="I26" s="51"/>
      <c r="J26" s="51"/>
      <c r="K26" s="51"/>
      <c r="L26" s="51"/>
    </row>
    <row r="27" spans="1:13" ht="44.45" customHeight="1" x14ac:dyDescent="0.25">
      <c r="A27" s="167"/>
      <c r="B27" s="1"/>
      <c r="C27" s="50"/>
      <c r="D27" s="232"/>
      <c r="E27" s="233"/>
      <c r="F27" s="232"/>
      <c r="G27" s="58"/>
      <c r="H27" s="58"/>
      <c r="I27" s="58"/>
      <c r="J27" s="58"/>
      <c r="K27" s="58"/>
      <c r="L27" s="58"/>
    </row>
    <row r="28" spans="1:13" ht="44.45" customHeight="1" x14ac:dyDescent="0.25">
      <c r="A28" s="167"/>
      <c r="B28" s="1"/>
      <c r="C28" s="50"/>
      <c r="D28" s="232"/>
      <c r="E28" s="233"/>
      <c r="F28" s="232"/>
      <c r="G28" s="58"/>
      <c r="H28" s="58"/>
      <c r="I28" s="58"/>
      <c r="J28" s="58"/>
      <c r="K28" s="58"/>
      <c r="L28" s="58"/>
    </row>
    <row r="29" spans="1:13" ht="44.45" customHeight="1" x14ac:dyDescent="0.25">
      <c r="A29" s="167"/>
      <c r="B29" s="1"/>
      <c r="C29" s="50"/>
      <c r="D29" s="232"/>
      <c r="E29" s="233"/>
      <c r="F29" s="232"/>
      <c r="G29" s="58"/>
      <c r="H29" s="58"/>
      <c r="I29" s="58"/>
      <c r="J29" s="58"/>
      <c r="K29" s="58"/>
      <c r="L29" s="58"/>
    </row>
    <row r="30" spans="1:13" ht="44.45" customHeight="1" x14ac:dyDescent="0.25">
      <c r="A30" s="167"/>
      <c r="B30" s="1"/>
      <c r="C30" s="50"/>
      <c r="D30" s="232"/>
      <c r="E30" s="233"/>
      <c r="F30" s="232"/>
      <c r="G30" s="58"/>
      <c r="H30" s="58"/>
      <c r="I30" s="58"/>
      <c r="J30" s="58"/>
      <c r="K30" s="58"/>
      <c r="L30" s="58"/>
    </row>
    <row r="31" spans="1:13" ht="44.45" customHeight="1" x14ac:dyDescent="0.25">
      <c r="A31" s="167"/>
      <c r="B31" s="1"/>
      <c r="C31" s="50"/>
      <c r="D31" s="232"/>
      <c r="E31" s="233"/>
      <c r="F31" s="232"/>
      <c r="G31" s="58"/>
      <c r="H31" s="58"/>
      <c r="I31" s="58"/>
      <c r="J31" s="58"/>
      <c r="K31" s="58"/>
      <c r="L31" s="58"/>
    </row>
  </sheetData>
  <sheetProtection algorithmName="SHA-512" hashValue="mgeV63w5cdon+Ox0EB0Z6UjgHkVwW14LolEu5N+c1ghm/MojR4ttv5HC1atO9nGMaxcpL/mtrXSPhjkb5HI22Q==" saltValue="tQ/OkbWAIBbe8By4ZoWbPA==" spinCount="100000" sheet="1" objects="1" scenarios="1" formatColumns="0" formatRows="0"/>
  <mergeCells count="1">
    <mergeCell ref="B1:O1"/>
  </mergeCells>
  <pageMargins left="0.7" right="0.7" top="0.75" bottom="0.75" header="0.3" footer="0.3"/>
  <pageSetup paperSize="9" orientation="portrait" r:id="rId1"/>
  <cellWatches>
    <cellWatch r="A1"/>
  </cellWatch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dimension ref="A1:BO144"/>
  <sheetViews>
    <sheetView topLeftCell="A90" zoomScale="85" zoomScaleNormal="85" workbookViewId="0">
      <selection activeCell="J145" sqref="J145"/>
    </sheetView>
  </sheetViews>
  <sheetFormatPr defaultColWidth="8.85546875" defaultRowHeight="15" x14ac:dyDescent="0.25"/>
  <cols>
    <col min="1" max="1" width="27.28515625" style="78" bestFit="1" customWidth="1"/>
    <col min="2" max="2" width="14.42578125" style="78" bestFit="1" customWidth="1"/>
    <col min="3" max="3" width="19" style="78" customWidth="1"/>
    <col min="4" max="4" width="14.7109375" style="78" bestFit="1" customWidth="1"/>
    <col min="5" max="5" width="21.7109375" style="78" bestFit="1" customWidth="1"/>
    <col min="6" max="6" width="21.7109375" style="78" customWidth="1"/>
    <col min="7" max="7" width="27.85546875" style="78" bestFit="1" customWidth="1"/>
    <col min="8" max="8" width="29.42578125" style="78" bestFit="1" customWidth="1"/>
    <col min="9" max="9" width="12.42578125" style="78" bestFit="1" customWidth="1"/>
    <col min="10" max="10" width="26.7109375" style="78" bestFit="1" customWidth="1"/>
    <col min="11" max="11" width="18.7109375" style="78" bestFit="1" customWidth="1"/>
    <col min="12" max="12" width="8.85546875" style="78"/>
    <col min="13" max="13" width="22" style="78" customWidth="1"/>
    <col min="14" max="26" width="12.7109375" style="78" customWidth="1"/>
    <col min="27" max="27" width="24.140625" style="78" bestFit="1" customWidth="1"/>
    <col min="28" max="34" width="12.5703125" style="78" customWidth="1"/>
    <col min="35" max="36" width="10.7109375" style="78" customWidth="1"/>
    <col min="37" max="37" width="14.42578125" style="78" customWidth="1"/>
    <col min="38" max="44" width="12.28515625" style="78" customWidth="1"/>
    <col min="45" max="58" width="10.7109375" style="78" customWidth="1"/>
    <col min="59" max="65" width="15.7109375" style="78" customWidth="1"/>
    <col min="66" max="66" width="10.7109375" style="78" customWidth="1"/>
    <col min="67" max="16384" width="8.85546875" style="78"/>
  </cols>
  <sheetData>
    <row r="1" spans="1:65" x14ac:dyDescent="0.25">
      <c r="A1" s="75" t="s">
        <v>74</v>
      </c>
      <c r="B1" s="75"/>
      <c r="C1" s="75" t="s">
        <v>76</v>
      </c>
      <c r="D1" s="75" t="s">
        <v>80</v>
      </c>
      <c r="E1" s="76" t="s">
        <v>79</v>
      </c>
      <c r="F1" s="76"/>
      <c r="G1" s="76" t="s">
        <v>87</v>
      </c>
      <c r="H1" s="76"/>
      <c r="I1" s="76"/>
      <c r="J1" s="76" t="s">
        <v>89</v>
      </c>
      <c r="K1" s="76" t="s">
        <v>86</v>
      </c>
      <c r="L1" s="76"/>
      <c r="M1" s="77" t="s">
        <v>106</v>
      </c>
      <c r="N1" s="77"/>
      <c r="O1" s="77"/>
      <c r="P1" s="77"/>
      <c r="Q1" s="77"/>
      <c r="R1" s="77"/>
      <c r="S1" s="77"/>
      <c r="T1" s="77"/>
      <c r="U1" s="77"/>
      <c r="V1" s="77"/>
      <c r="W1" s="77"/>
      <c r="X1" s="77"/>
      <c r="Y1" s="77"/>
      <c r="BF1" s="77" t="s">
        <v>106</v>
      </c>
      <c r="BG1" s="78">
        <v>6</v>
      </c>
      <c r="BH1" s="78">
        <v>5</v>
      </c>
      <c r="BI1" s="78">
        <v>4</v>
      </c>
      <c r="BJ1" s="78">
        <v>3</v>
      </c>
      <c r="BK1" s="78">
        <v>2</v>
      </c>
      <c r="BL1" s="78">
        <v>1</v>
      </c>
    </row>
    <row r="2" spans="1:65" x14ac:dyDescent="0.25">
      <c r="A2" s="75"/>
      <c r="B2" s="75"/>
      <c r="C2" s="75"/>
      <c r="D2" s="75"/>
      <c r="E2" s="76">
        <f>'Business Decisions'!B8</f>
        <v>0</v>
      </c>
      <c r="F2" s="76"/>
      <c r="G2" s="76">
        <f>'Business Decisions'!B16</f>
        <v>0</v>
      </c>
      <c r="H2" s="76"/>
      <c r="I2" s="76"/>
      <c r="J2" s="76"/>
      <c r="K2" s="76">
        <f>'Business Decisions'!B27</f>
        <v>0</v>
      </c>
      <c r="L2" s="76">
        <v>32</v>
      </c>
      <c r="M2" s="77"/>
      <c r="N2" s="77"/>
      <c r="O2" s="77"/>
      <c r="P2" s="77"/>
      <c r="Q2" s="77"/>
      <c r="R2" s="77"/>
      <c r="S2" s="77"/>
      <c r="T2" s="77"/>
      <c r="U2" s="77"/>
      <c r="V2" s="77"/>
      <c r="W2" s="77"/>
      <c r="X2" s="77"/>
      <c r="Y2" s="77"/>
      <c r="BF2" s="77"/>
    </row>
    <row r="3" spans="1:65" x14ac:dyDescent="0.25">
      <c r="A3" s="75">
        <v>1</v>
      </c>
      <c r="B3" s="75"/>
      <c r="C3" s="75">
        <v>1</v>
      </c>
      <c r="D3" s="75">
        <v>1</v>
      </c>
      <c r="E3" s="76">
        <v>100</v>
      </c>
      <c r="F3" s="76"/>
      <c r="G3" s="76">
        <v>40</v>
      </c>
      <c r="H3" s="76">
        <f>(-0.02)*(0.4*E4-G4)^3+1</f>
        <v>1</v>
      </c>
      <c r="I3" s="76"/>
      <c r="J3" s="76">
        <f>K120</f>
        <v>5000</v>
      </c>
      <c r="K3" s="76">
        <f>IF('Business Decisions'!$B$27="",L2,IF(K2&lt;20,20,IF(K2&gt;50,50,ROUND(K2,0))))</f>
        <v>32</v>
      </c>
      <c r="L3" s="76"/>
      <c r="M3" s="77"/>
      <c r="N3" s="77" t="s">
        <v>103</v>
      </c>
      <c r="O3" s="77" t="s">
        <v>104</v>
      </c>
      <c r="P3" s="77" t="s">
        <v>105</v>
      </c>
      <c r="Q3" s="77" t="s">
        <v>107</v>
      </c>
      <c r="R3" s="77" t="s">
        <v>5</v>
      </c>
      <c r="S3" s="77" t="s">
        <v>108</v>
      </c>
      <c r="T3" s="77" t="s">
        <v>109</v>
      </c>
      <c r="U3" s="77" t="s">
        <v>110</v>
      </c>
      <c r="V3" s="77" t="s">
        <v>111</v>
      </c>
      <c r="W3" s="77" t="s">
        <v>112</v>
      </c>
      <c r="X3" s="77" t="s">
        <v>113</v>
      </c>
      <c r="Y3" s="77" t="s">
        <v>114</v>
      </c>
      <c r="AB3" s="77" t="s">
        <v>103</v>
      </c>
      <c r="AC3" s="77" t="s">
        <v>104</v>
      </c>
      <c r="AD3" s="77" t="s">
        <v>105</v>
      </c>
      <c r="AE3" s="77" t="s">
        <v>107</v>
      </c>
      <c r="AF3" s="77" t="s">
        <v>5</v>
      </c>
      <c r="AG3" s="77" t="s">
        <v>108</v>
      </c>
      <c r="AL3" s="77" t="s">
        <v>103</v>
      </c>
      <c r="AM3" s="77" t="s">
        <v>104</v>
      </c>
      <c r="AN3" s="77" t="s">
        <v>105</v>
      </c>
      <c r="AO3" s="77" t="s">
        <v>107</v>
      </c>
      <c r="AP3" s="77" t="s">
        <v>5</v>
      </c>
      <c r="AQ3" s="77" t="s">
        <v>108</v>
      </c>
      <c r="BF3" s="77"/>
      <c r="BG3" s="77" t="s">
        <v>109</v>
      </c>
      <c r="BH3" s="77" t="s">
        <v>110</v>
      </c>
      <c r="BI3" s="77" t="s">
        <v>111</v>
      </c>
      <c r="BJ3" s="77" t="s">
        <v>112</v>
      </c>
      <c r="BK3" s="77" t="s">
        <v>113</v>
      </c>
      <c r="BL3" s="77" t="s">
        <v>114</v>
      </c>
      <c r="BM3" s="162">
        <v>44197</v>
      </c>
    </row>
    <row r="4" spans="1:65" x14ac:dyDescent="0.25">
      <c r="A4" s="75" t="s">
        <v>63</v>
      </c>
      <c r="B4" s="75" t="s">
        <v>96</v>
      </c>
      <c r="C4" s="75" t="s">
        <v>65</v>
      </c>
      <c r="D4" s="75" t="s">
        <v>82</v>
      </c>
      <c r="E4" s="79">
        <f>IF(E5&lt;G4+1,G4+1,E5)</f>
        <v>10</v>
      </c>
      <c r="F4" s="79"/>
      <c r="G4" s="79">
        <f>IF(C3=3,G7,IF('Business Decisions'!$B$16="",G3/10,IF(G2&lt;2,2,IF(G2&gt;8,8,ROUND(G2,2)))))</f>
        <v>4</v>
      </c>
      <c r="H4" s="76" t="s">
        <v>124</v>
      </c>
      <c r="I4" s="76"/>
      <c r="J4" s="76" t="s">
        <v>85</v>
      </c>
      <c r="K4" s="76" t="s">
        <v>88</v>
      </c>
      <c r="L4" s="76"/>
      <c r="M4" s="77" t="s">
        <v>82</v>
      </c>
      <c r="N4" s="77">
        <v>0.9</v>
      </c>
      <c r="O4" s="77">
        <v>0.95</v>
      </c>
      <c r="P4" s="77">
        <v>0.8</v>
      </c>
      <c r="Q4" s="77">
        <v>1</v>
      </c>
      <c r="R4" s="77">
        <v>1.05</v>
      </c>
      <c r="S4" s="77">
        <v>0.8</v>
      </c>
      <c r="T4" s="77">
        <v>1</v>
      </c>
      <c r="U4" s="77">
        <v>0.95</v>
      </c>
      <c r="V4" s="77">
        <v>0.8</v>
      </c>
      <c r="W4" s="77">
        <v>1</v>
      </c>
      <c r="X4" s="77">
        <v>1.1000000000000001</v>
      </c>
      <c r="Y4" s="77">
        <v>1.4</v>
      </c>
      <c r="BF4" s="77" t="s">
        <v>497</v>
      </c>
      <c r="BG4" s="78">
        <v>0</v>
      </c>
      <c r="BH4" s="78">
        <v>1</v>
      </c>
      <c r="BI4" s="78">
        <v>2</v>
      </c>
      <c r="BJ4" s="78">
        <v>3</v>
      </c>
      <c r="BK4" s="78">
        <v>4</v>
      </c>
      <c r="BL4" s="78">
        <v>5</v>
      </c>
      <c r="BM4" s="78">
        <v>6</v>
      </c>
    </row>
    <row r="5" spans="1:65" x14ac:dyDescent="0.25">
      <c r="A5" s="75" t="s">
        <v>64</v>
      </c>
      <c r="B5" s="75" t="s">
        <v>97</v>
      </c>
      <c r="C5" s="75" t="s">
        <v>81</v>
      </c>
      <c r="D5" s="75" t="s">
        <v>83</v>
      </c>
      <c r="E5" s="79">
        <f>IF(C3=3,G6,IF('Business Decisions'!$B$8="",E3/10,IF(E2&lt;5,5,IF(E2&gt;20,20,ROUND(E2,2)))))</f>
        <v>10</v>
      </c>
      <c r="F5" s="76" t="s">
        <v>266</v>
      </c>
      <c r="G5" s="79">
        <f>G4*I36</f>
        <v>4</v>
      </c>
      <c r="H5" s="76">
        <f>IF(((-0.02*(0.4*E4-G4)^3)+1)&gt;0,(-0.02*(0.4*E4-G4)^3)+1,0)</f>
        <v>1</v>
      </c>
      <c r="I5" s="76"/>
      <c r="J5" s="76">
        <f>I120</f>
        <v>1.3</v>
      </c>
      <c r="K5" s="76">
        <f>IF(K3&gt;32,1+(K3-32)/60,(K3+8)/40)</f>
        <v>1</v>
      </c>
      <c r="L5" s="76"/>
      <c r="M5" s="77" t="s">
        <v>83</v>
      </c>
      <c r="N5" s="77">
        <v>1.4</v>
      </c>
      <c r="O5" s="77">
        <v>1.1000000000000001</v>
      </c>
      <c r="P5" s="77">
        <v>1.05</v>
      </c>
      <c r="Q5" s="77">
        <v>1.2</v>
      </c>
      <c r="R5" s="77">
        <v>1</v>
      </c>
      <c r="S5" s="77">
        <v>1.55</v>
      </c>
      <c r="T5" s="77">
        <v>1.2</v>
      </c>
      <c r="U5" s="77">
        <v>1</v>
      </c>
      <c r="V5" s="77">
        <v>1.4</v>
      </c>
      <c r="W5" s="77">
        <v>1</v>
      </c>
      <c r="X5" s="77">
        <v>1.2</v>
      </c>
      <c r="Y5" s="77">
        <v>1.7</v>
      </c>
      <c r="BF5" s="77"/>
      <c r="BG5" s="78" t="s">
        <v>469</v>
      </c>
    </row>
    <row r="6" spans="1:65" x14ac:dyDescent="0.25">
      <c r="A6" s="75" t="s">
        <v>98</v>
      </c>
      <c r="B6" s="75" t="s">
        <v>99</v>
      </c>
      <c r="C6" s="75" t="s">
        <v>77</v>
      </c>
      <c r="D6" s="75" t="s">
        <v>84</v>
      </c>
      <c r="E6" s="76"/>
      <c r="F6" s="76" t="s">
        <v>422</v>
      </c>
      <c r="G6" s="76">
        <v>10</v>
      </c>
      <c r="H6" s="76" t="s">
        <v>149</v>
      </c>
      <c r="I6" s="76"/>
      <c r="J6" s="76">
        <f>ROUND((J5*100)-100,2)</f>
        <v>30</v>
      </c>
      <c r="K6" s="76">
        <f>ROUND((K5*100)-100,2)</f>
        <v>0</v>
      </c>
      <c r="L6" s="76"/>
      <c r="M6" s="77" t="s">
        <v>84</v>
      </c>
      <c r="N6" s="77">
        <v>1.2</v>
      </c>
      <c r="O6" s="77">
        <v>1.1000000000000001</v>
      </c>
      <c r="P6" s="77">
        <v>1</v>
      </c>
      <c r="Q6" s="77">
        <v>1.05</v>
      </c>
      <c r="R6" s="77">
        <v>1</v>
      </c>
      <c r="S6" s="77">
        <v>1.1000000000000001</v>
      </c>
      <c r="T6" s="77">
        <v>1.05</v>
      </c>
      <c r="U6" s="77">
        <v>1</v>
      </c>
      <c r="V6" s="77">
        <v>1.1000000000000001</v>
      </c>
      <c r="W6" s="77">
        <v>1</v>
      </c>
      <c r="X6" s="77">
        <v>1.05</v>
      </c>
      <c r="Y6" s="77">
        <v>1.3</v>
      </c>
      <c r="BF6" s="78" t="s">
        <v>470</v>
      </c>
      <c r="BG6" s="78">
        <v>0.9</v>
      </c>
      <c r="BH6" s="78">
        <v>0.8</v>
      </c>
      <c r="BI6" s="78">
        <v>0.7</v>
      </c>
      <c r="BJ6" s="78">
        <v>0.6</v>
      </c>
      <c r="BK6" s="78">
        <v>0.5</v>
      </c>
      <c r="BL6" s="78">
        <v>0.4</v>
      </c>
      <c r="BM6" s="78">
        <v>0.3</v>
      </c>
    </row>
    <row r="7" spans="1:65" x14ac:dyDescent="0.25">
      <c r="A7" s="75" t="str">
        <f>IF(A3=1,A4,IF(A3=2,A5,IF(A3=3,A6,"")))</f>
        <v>Burgers</v>
      </c>
      <c r="B7" s="75" t="str">
        <f>IF(A3=1,B4,IF(A3=2,B5,IF(A3=3,B6,"")))</f>
        <v>Grills</v>
      </c>
      <c r="C7" s="75"/>
      <c r="D7" s="75"/>
      <c r="E7" s="76"/>
      <c r="F7" s="76" t="s">
        <v>423</v>
      </c>
      <c r="G7" s="76">
        <v>3</v>
      </c>
      <c r="H7" s="80">
        <f>IF(E4&lt;15,((1/(0.1*E4))),2/3)</f>
        <v>1</v>
      </c>
      <c r="I7" s="76"/>
      <c r="J7" s="76"/>
      <c r="K7" s="76"/>
      <c r="L7" s="76"/>
      <c r="M7" s="77"/>
      <c r="N7" s="77"/>
      <c r="O7" s="77"/>
      <c r="P7" s="77"/>
      <c r="Q7" s="77"/>
      <c r="R7" s="77"/>
      <c r="S7" s="77"/>
      <c r="T7" s="77"/>
      <c r="U7" s="77"/>
      <c r="V7" s="77"/>
      <c r="W7" s="77"/>
      <c r="X7" s="77"/>
      <c r="Y7" s="77"/>
      <c r="AR7" s="78">
        <f>SUM(AN14:AQ14,AN16:AQ16)</f>
        <v>0</v>
      </c>
      <c r="AS7" s="78" t="s">
        <v>455</v>
      </c>
      <c r="BC7" s="177" t="s">
        <v>542</v>
      </c>
      <c r="BG7" s="78">
        <f>AQ11+1</f>
        <v>31</v>
      </c>
      <c r="BH7" s="78">
        <f t="shared" ref="BH7:BM7" si="0">BG7+1</f>
        <v>32</v>
      </c>
      <c r="BI7" s="78">
        <f t="shared" si="0"/>
        <v>33</v>
      </c>
      <c r="BJ7" s="78">
        <f t="shared" si="0"/>
        <v>34</v>
      </c>
      <c r="BK7" s="78">
        <f t="shared" si="0"/>
        <v>35</v>
      </c>
      <c r="BL7" s="78">
        <f t="shared" si="0"/>
        <v>36</v>
      </c>
      <c r="BM7" s="78">
        <f t="shared" si="0"/>
        <v>37</v>
      </c>
    </row>
    <row r="8" spans="1:65" x14ac:dyDescent="0.25">
      <c r="A8" s="81"/>
      <c r="B8" s="81" t="s">
        <v>65</v>
      </c>
      <c r="C8" s="81" t="s">
        <v>81</v>
      </c>
      <c r="D8" s="81" t="s">
        <v>77</v>
      </c>
      <c r="E8" s="82"/>
      <c r="F8" s="82"/>
      <c r="G8" s="82"/>
      <c r="H8" s="82" t="s">
        <v>82</v>
      </c>
      <c r="I8" s="82" t="s">
        <v>83</v>
      </c>
      <c r="J8" s="82" t="s">
        <v>84</v>
      </c>
      <c r="K8" s="78" t="s">
        <v>655</v>
      </c>
      <c r="M8" s="77" t="s">
        <v>115</v>
      </c>
      <c r="N8" s="77">
        <f>IF($D$3=1,N4,IF($D$3=2,N5,IF($D$3=3,N6,"")))</f>
        <v>0.9</v>
      </c>
      <c r="O8" s="77">
        <f t="shared" ref="O8:Y8" si="1">IF($D$3=1,O4,IF($D$3=2,O5,IF($D$3=3,O6,"")))</f>
        <v>0.95</v>
      </c>
      <c r="P8" s="77">
        <f t="shared" si="1"/>
        <v>0.8</v>
      </c>
      <c r="Q8" s="77">
        <f t="shared" si="1"/>
        <v>1</v>
      </c>
      <c r="R8" s="77">
        <f t="shared" si="1"/>
        <v>1.05</v>
      </c>
      <c r="S8" s="77">
        <f t="shared" si="1"/>
        <v>0.8</v>
      </c>
      <c r="T8" s="77">
        <f t="shared" si="1"/>
        <v>1</v>
      </c>
      <c r="U8" s="77">
        <f t="shared" si="1"/>
        <v>0.95</v>
      </c>
      <c r="V8" s="77">
        <f t="shared" si="1"/>
        <v>0.8</v>
      </c>
      <c r="W8" s="77">
        <f t="shared" si="1"/>
        <v>1</v>
      </c>
      <c r="X8" s="77">
        <f t="shared" si="1"/>
        <v>1.1000000000000001</v>
      </c>
      <c r="Y8" s="77">
        <f t="shared" si="1"/>
        <v>1.4</v>
      </c>
      <c r="BF8" s="78" t="s">
        <v>473</v>
      </c>
      <c r="BG8" s="181">
        <f>ROUND(AM12+IF($K$20&gt;0,$K$20,0)*0.9^BG7,0)</f>
        <v>29288</v>
      </c>
      <c r="BH8" s="181">
        <f>ROUND(BG8+IF($K$20&gt;0,$K$20,0)*0.9^BH7,0)</f>
        <v>29480</v>
      </c>
      <c r="BI8" s="181">
        <f t="shared" ref="BI8:BM8" si="2">ROUND(BH8+IF($K$20&gt;0,$K$20,0)*0.9^BI7,0)</f>
        <v>29653</v>
      </c>
      <c r="BJ8" s="181">
        <f t="shared" si="2"/>
        <v>29809</v>
      </c>
      <c r="BK8" s="181">
        <f t="shared" si="2"/>
        <v>29949</v>
      </c>
      <c r="BL8" s="181">
        <f t="shared" si="2"/>
        <v>30075</v>
      </c>
      <c r="BM8" s="181">
        <f t="shared" si="2"/>
        <v>30189</v>
      </c>
    </row>
    <row r="9" spans="1:65" x14ac:dyDescent="0.25">
      <c r="A9" s="81" t="s">
        <v>90</v>
      </c>
      <c r="B9" s="81">
        <v>120000</v>
      </c>
      <c r="C9" s="81">
        <v>340000</v>
      </c>
      <c r="D9" s="81">
        <v>500000</v>
      </c>
      <c r="E9" s="82"/>
      <c r="F9" s="82"/>
      <c r="G9" s="82" t="s">
        <v>93</v>
      </c>
      <c r="H9" s="82">
        <v>28000</v>
      </c>
      <c r="I9" s="82">
        <v>55000</v>
      </c>
      <c r="J9" s="82">
        <v>7000</v>
      </c>
      <c r="K9" s="249" t="s">
        <v>656</v>
      </c>
      <c r="M9" s="77"/>
      <c r="N9" s="77"/>
      <c r="O9" s="77"/>
      <c r="P9" s="77"/>
      <c r="Q9" s="77"/>
      <c r="R9" s="77"/>
      <c r="S9" s="77"/>
      <c r="T9" s="77"/>
      <c r="U9" s="77"/>
      <c r="V9" s="77"/>
      <c r="W9" s="77"/>
      <c r="X9" s="77"/>
      <c r="Y9" s="77"/>
      <c r="AB9" s="262" t="s">
        <v>319</v>
      </c>
      <c r="AC9" s="263"/>
      <c r="AD9" s="263"/>
      <c r="AE9" s="263"/>
      <c r="AF9" s="263"/>
      <c r="AG9" s="263"/>
      <c r="AH9" s="263"/>
      <c r="BF9" s="78" t="s">
        <v>500</v>
      </c>
      <c r="BG9" s="181">
        <f t="shared" ref="BG9:BL9" si="3">BG8*T8</f>
        <v>29288</v>
      </c>
      <c r="BH9" s="181">
        <f t="shared" si="3"/>
        <v>28006</v>
      </c>
      <c r="BI9" s="181">
        <f t="shared" si="3"/>
        <v>23722.400000000001</v>
      </c>
      <c r="BJ9" s="181">
        <f t="shared" si="3"/>
        <v>29809</v>
      </c>
      <c r="BK9" s="181">
        <f t="shared" si="3"/>
        <v>32943.9</v>
      </c>
      <c r="BL9" s="181">
        <f t="shared" si="3"/>
        <v>42105</v>
      </c>
      <c r="BM9" s="181">
        <f>BM8*N8</f>
        <v>27170.100000000002</v>
      </c>
    </row>
    <row r="10" spans="1:65" x14ac:dyDescent="0.25">
      <c r="A10" s="81" t="s">
        <v>66</v>
      </c>
      <c r="B10" s="81">
        <v>2200</v>
      </c>
      <c r="C10" s="81">
        <v>6000</v>
      </c>
      <c r="D10" s="81">
        <v>9500</v>
      </c>
      <c r="E10" s="82"/>
      <c r="F10" s="82"/>
      <c r="G10" s="82" t="s">
        <v>94</v>
      </c>
      <c r="H10" s="82">
        <v>1.6</v>
      </c>
      <c r="I10" s="82">
        <v>2.1</v>
      </c>
      <c r="J10" s="82">
        <v>1.1000000000000001</v>
      </c>
      <c r="AB10" s="262" t="s">
        <v>321</v>
      </c>
      <c r="AC10" s="263"/>
      <c r="AD10" s="263"/>
      <c r="AE10" s="263"/>
      <c r="AF10" s="263"/>
      <c r="AG10" s="263"/>
      <c r="AH10" s="263"/>
      <c r="AL10" s="177" t="s">
        <v>541</v>
      </c>
      <c r="AW10" s="78" t="s">
        <v>417</v>
      </c>
      <c r="BF10" s="78" t="s">
        <v>362</v>
      </c>
      <c r="BG10" s="181">
        <f>ROUND(BG9*$G$75*BG6,0)</f>
        <v>0</v>
      </c>
      <c r="BH10" s="181">
        <f t="shared" ref="BH10:BM10" si="4">ROUND(BH9*$G$75*BH6,0)</f>
        <v>0</v>
      </c>
      <c r="BI10" s="181">
        <f t="shared" si="4"/>
        <v>0</v>
      </c>
      <c r="BJ10" s="181">
        <f t="shared" si="4"/>
        <v>0</v>
      </c>
      <c r="BK10" s="181">
        <f t="shared" si="4"/>
        <v>0</v>
      </c>
      <c r="BL10" s="181">
        <f t="shared" si="4"/>
        <v>0</v>
      </c>
      <c r="BM10" s="181">
        <f t="shared" si="4"/>
        <v>0</v>
      </c>
    </row>
    <row r="11" spans="1:65" x14ac:dyDescent="0.25">
      <c r="A11" s="81" t="s">
        <v>91</v>
      </c>
      <c r="B11" s="81">
        <v>7</v>
      </c>
      <c r="C11" s="81">
        <v>1.8</v>
      </c>
      <c r="D11" s="81">
        <v>0.4</v>
      </c>
      <c r="E11" s="82"/>
      <c r="F11" s="82"/>
      <c r="G11" s="82" t="s">
        <v>95</v>
      </c>
      <c r="H11" s="82">
        <v>1.05</v>
      </c>
      <c r="I11" s="82">
        <v>1.1000000000000001</v>
      </c>
      <c r="J11" s="82">
        <v>1</v>
      </c>
      <c r="M11" s="78" t="s">
        <v>123</v>
      </c>
      <c r="O11" s="78">
        <v>2</v>
      </c>
      <c r="P11" s="78">
        <v>4</v>
      </c>
      <c r="Q11" s="78">
        <v>6</v>
      </c>
      <c r="R11" s="78">
        <v>8</v>
      </c>
      <c r="S11" s="78">
        <v>10</v>
      </c>
      <c r="T11" s="78">
        <v>12</v>
      </c>
      <c r="U11" s="78">
        <v>14</v>
      </c>
      <c r="V11" s="78">
        <v>16</v>
      </c>
      <c r="W11" s="78">
        <v>18</v>
      </c>
      <c r="X11" s="78">
        <v>20</v>
      </c>
      <c r="Y11" s="78">
        <v>22</v>
      </c>
      <c r="Z11" s="78">
        <v>24</v>
      </c>
      <c r="AB11" s="263">
        <v>25</v>
      </c>
      <c r="AC11" s="263">
        <f>AB11+1</f>
        <v>26</v>
      </c>
      <c r="AD11" s="263">
        <f>AC11+1</f>
        <v>27</v>
      </c>
      <c r="AE11" s="263">
        <f>AD11+1</f>
        <v>28</v>
      </c>
      <c r="AF11" s="263">
        <f>AE11+1</f>
        <v>29</v>
      </c>
      <c r="AG11" s="263">
        <f>AF11+1</f>
        <v>30</v>
      </c>
      <c r="AH11" s="263">
        <v>31</v>
      </c>
      <c r="AL11" s="78">
        <f t="shared" ref="AL11:AQ11" si="5">AB11</f>
        <v>25</v>
      </c>
      <c r="AM11" s="78">
        <f t="shared" si="5"/>
        <v>26</v>
      </c>
      <c r="AN11" s="78">
        <f t="shared" si="5"/>
        <v>27</v>
      </c>
      <c r="AO11" s="78">
        <f t="shared" si="5"/>
        <v>28</v>
      </c>
      <c r="AP11" s="78">
        <f t="shared" si="5"/>
        <v>29</v>
      </c>
      <c r="AQ11" s="78">
        <f t="shared" si="5"/>
        <v>30</v>
      </c>
      <c r="AR11" s="78">
        <f>AQ11+1</f>
        <v>31</v>
      </c>
      <c r="AW11" s="78">
        <f t="shared" ref="AW11:BB11" si="6">AL11</f>
        <v>25</v>
      </c>
      <c r="AX11" s="78">
        <f t="shared" si="6"/>
        <v>26</v>
      </c>
      <c r="AY11" s="78">
        <f t="shared" si="6"/>
        <v>27</v>
      </c>
      <c r="AZ11" s="78">
        <f t="shared" si="6"/>
        <v>28</v>
      </c>
      <c r="BA11" s="78">
        <f t="shared" si="6"/>
        <v>29</v>
      </c>
      <c r="BB11" s="78">
        <f t="shared" si="6"/>
        <v>30</v>
      </c>
      <c r="BF11" s="78" t="s">
        <v>363</v>
      </c>
      <c r="BG11" s="182">
        <f>BG10*$D$73*$E$4</f>
        <v>0</v>
      </c>
      <c r="BH11" s="182">
        <f t="shared" ref="BH11:BM11" si="7">BH10*$D$73*$E$4</f>
        <v>0</v>
      </c>
      <c r="BI11" s="182">
        <f t="shared" si="7"/>
        <v>0</v>
      </c>
      <c r="BJ11" s="182">
        <f t="shared" si="7"/>
        <v>0</v>
      </c>
      <c r="BK11" s="182">
        <f t="shared" si="7"/>
        <v>0</v>
      </c>
      <c r="BL11" s="182">
        <f t="shared" si="7"/>
        <v>0</v>
      </c>
      <c r="BM11" s="182">
        <f t="shared" si="7"/>
        <v>0</v>
      </c>
    </row>
    <row r="12" spans="1:65" x14ac:dyDescent="0.25">
      <c r="A12" s="81" t="s">
        <v>92</v>
      </c>
      <c r="B12" s="81"/>
      <c r="C12" s="81"/>
      <c r="D12" s="81">
        <v>4500</v>
      </c>
      <c r="E12" s="82"/>
      <c r="F12" s="82"/>
      <c r="G12" s="82"/>
      <c r="H12" s="82">
        <f>H9/1000</f>
        <v>28</v>
      </c>
      <c r="I12" s="82">
        <f>I9/1000</f>
        <v>55</v>
      </c>
      <c r="J12" s="82">
        <f>J9/1000</f>
        <v>7</v>
      </c>
      <c r="K12" s="78" t="s">
        <v>121</v>
      </c>
      <c r="N12" s="78">
        <f>IF((K15+J43)&gt;0,K15+J43,0)</f>
        <v>6776</v>
      </c>
      <c r="O12" s="78">
        <f>IF((N12+$K$20*0.9^O11)&gt;0,N12+$K$20*0.9^O11,0)</f>
        <v>11314.35305</v>
      </c>
      <c r="P12" s="78">
        <f>IF((O12+$K$20*0.9^P11)&gt;0,O12+$K$20*0.9^P11,0)</f>
        <v>14990.419020500001</v>
      </c>
      <c r="Q12" s="78">
        <f t="shared" ref="Q12:Y12" si="8">IF((P12+$K$20*0.9^Q11)&gt;0,P12+$K$20*0.9^Q11,0)</f>
        <v>17968.032456605004</v>
      </c>
      <c r="R12" s="78">
        <f t="shared" si="8"/>
        <v>20379.899339850053</v>
      </c>
      <c r="S12" s="78">
        <f t="shared" si="8"/>
        <v>22333.511515278544</v>
      </c>
      <c r="T12" s="78">
        <f t="shared" si="8"/>
        <v>23915.937377375623</v>
      </c>
      <c r="U12" s="78">
        <f t="shared" si="8"/>
        <v>25197.702325674258</v>
      </c>
      <c r="V12" s="78">
        <f t="shared" si="8"/>
        <v>26235.93193379615</v>
      </c>
      <c r="W12" s="78">
        <f t="shared" si="8"/>
        <v>27076.897916374885</v>
      </c>
      <c r="X12" s="78">
        <f t="shared" si="8"/>
        <v>27758.080362263659</v>
      </c>
      <c r="Y12" s="78">
        <f t="shared" si="8"/>
        <v>28309.838143433568</v>
      </c>
      <c r="Z12" s="78">
        <f>ROUND(Y12+IF($K$20&gt;0,$K$20*0.9^AB11,0),2)</f>
        <v>28712.07</v>
      </c>
      <c r="AB12" s="263">
        <f>ROUND(Y12+IF($K$20&gt;0,$K$20*0.9^AB11,0),2)</f>
        <v>28712.07</v>
      </c>
      <c r="AC12" s="263">
        <f>ROUND(Z12+IF($K$20&gt;0,$K$20*0.9^AC11,0),2)</f>
        <v>29074.080000000002</v>
      </c>
      <c r="AD12" s="263">
        <f>ROUND(AC12+IF($K$20&gt;0,$K$20*0.9^AD11,0),2)</f>
        <v>29399.89</v>
      </c>
      <c r="AE12" s="263">
        <f t="shared" ref="AE12:AH12" si="9">ROUND(AD12+IF($K$20&gt;0,$K$20*0.9^AE11,0),2)</f>
        <v>29693.119999999999</v>
      </c>
      <c r="AF12" s="263">
        <f t="shared" si="9"/>
        <v>29957.02</v>
      </c>
      <c r="AG12" s="263">
        <f t="shared" si="9"/>
        <v>30194.53</v>
      </c>
      <c r="AH12" s="263">
        <f t="shared" si="9"/>
        <v>30408.29</v>
      </c>
      <c r="AL12" s="78">
        <f>AB12</f>
        <v>28712.07</v>
      </c>
      <c r="AM12" s="78">
        <f>AC12</f>
        <v>29074.080000000002</v>
      </c>
      <c r="AN12" s="78">
        <f>AM12*$I$63</f>
        <v>0</v>
      </c>
      <c r="AO12" s="78">
        <f>AN12</f>
        <v>0</v>
      </c>
      <c r="AP12" s="78">
        <f>AO12</f>
        <v>0</v>
      </c>
      <c r="AQ12" s="78">
        <f>AP12</f>
        <v>0</v>
      </c>
      <c r="AR12" s="78">
        <f>AQ12</f>
        <v>0</v>
      </c>
      <c r="AW12" s="78">
        <f>AL12</f>
        <v>28712.07</v>
      </c>
      <c r="AX12" s="78">
        <f>AM12</f>
        <v>29074.080000000002</v>
      </c>
      <c r="AY12" s="78">
        <f>AX12</f>
        <v>29074.080000000002</v>
      </c>
      <c r="AZ12" s="78">
        <f>AY12</f>
        <v>29074.080000000002</v>
      </c>
      <c r="BA12" s="78">
        <f>AZ12</f>
        <v>29074.080000000002</v>
      </c>
      <c r="BB12" s="78">
        <f>BA12</f>
        <v>29074.080000000002</v>
      </c>
      <c r="BD12" s="78" t="s">
        <v>419</v>
      </c>
      <c r="BF12" s="78" t="s">
        <v>365</v>
      </c>
      <c r="BG12" s="181">
        <f>ROUND(BG9*$D$74*BG6,0)</f>
        <v>0</v>
      </c>
      <c r="BH12" s="181">
        <f t="shared" ref="BH12:BM12" si="10">ROUND(BH9*$D$74*BH6,0)</f>
        <v>0</v>
      </c>
      <c r="BI12" s="181">
        <f t="shared" si="10"/>
        <v>0</v>
      </c>
      <c r="BJ12" s="181">
        <f t="shared" si="10"/>
        <v>0</v>
      </c>
      <c r="BK12" s="181">
        <f t="shared" si="10"/>
        <v>0</v>
      </c>
      <c r="BL12" s="181">
        <f t="shared" si="10"/>
        <v>0</v>
      </c>
      <c r="BM12" s="181">
        <f t="shared" si="10"/>
        <v>0</v>
      </c>
    </row>
    <row r="13" spans="1:65" x14ac:dyDescent="0.25">
      <c r="A13" s="81" t="s">
        <v>118</v>
      </c>
      <c r="B13" s="81">
        <f>IF($C$3=1,B9,IF($C$3=2,C9,IF($C$3=3,D9,0)))</f>
        <v>120000</v>
      </c>
      <c r="C13" s="81"/>
      <c r="D13" s="81"/>
      <c r="E13" s="82"/>
      <c r="F13" s="82"/>
      <c r="G13" s="82" t="s">
        <v>125</v>
      </c>
      <c r="H13" s="82">
        <f>IF($D$3=1,H9,IF($D$3=2,I9,IF($D$3=3,J9,0)))</f>
        <v>28000</v>
      </c>
      <c r="I13" s="82"/>
      <c r="J13" s="82"/>
      <c r="K13" s="78">
        <f>H14*H7*H5*J5*K5*A106+1</f>
        <v>3.08</v>
      </c>
      <c r="M13" s="78" t="s">
        <v>130</v>
      </c>
      <c r="W13" s="78">
        <f>V12+IF($K$20&gt;0,$K$20,0)*0.9^W11</f>
        <v>27076.897916374885</v>
      </c>
      <c r="X13" s="78">
        <f>W12+IF($K$20&gt;0,$K$20,0)*0.9^X11</f>
        <v>27758.080362263659</v>
      </c>
      <c r="Y13" s="78">
        <f>X12+IF($K$20&gt;0,$K$20,0)*0.9^Y11</f>
        <v>28309.838143433568</v>
      </c>
      <c r="AB13" s="263"/>
      <c r="AC13" s="263"/>
      <c r="AD13" s="263"/>
      <c r="AE13" s="263"/>
      <c r="AF13" s="263"/>
      <c r="AG13" s="263"/>
      <c r="AH13" s="263"/>
      <c r="AN13" s="78">
        <f>AN12*P8</f>
        <v>0</v>
      </c>
      <c r="AO13" s="78">
        <f>AO12*Q8</f>
        <v>0</v>
      </c>
      <c r="AP13" s="78">
        <f>AP12*R8</f>
        <v>0</v>
      </c>
      <c r="AQ13" s="78">
        <f>AQ12*S8</f>
        <v>0</v>
      </c>
      <c r="AR13" s="78">
        <f>AR12*T8</f>
        <v>0</v>
      </c>
      <c r="AS13" s="78" t="s">
        <v>361</v>
      </c>
      <c r="AY13" s="78">
        <f>AY12*P8</f>
        <v>23259.264000000003</v>
      </c>
      <c r="AZ13" s="78">
        <f>AZ12*Q8</f>
        <v>29074.080000000002</v>
      </c>
      <c r="BA13" s="78">
        <f>BA12*R8</f>
        <v>30527.784000000003</v>
      </c>
      <c r="BB13" s="78">
        <f>BB12*S8</f>
        <v>23259.264000000003</v>
      </c>
      <c r="BF13" s="78" t="s">
        <v>366</v>
      </c>
      <c r="BG13" s="182">
        <f>BG12*$D$73*$E$4</f>
        <v>0</v>
      </c>
      <c r="BH13" s="182">
        <f t="shared" ref="BH13:BM13" si="11">BH12*$D$73*$E$4</f>
        <v>0</v>
      </c>
      <c r="BI13" s="182">
        <f t="shared" si="11"/>
        <v>0</v>
      </c>
      <c r="BJ13" s="182">
        <f t="shared" si="11"/>
        <v>0</v>
      </c>
      <c r="BK13" s="182">
        <f t="shared" si="11"/>
        <v>0</v>
      </c>
      <c r="BL13" s="182">
        <f t="shared" si="11"/>
        <v>0</v>
      </c>
      <c r="BM13" s="182">
        <f t="shared" si="11"/>
        <v>0</v>
      </c>
    </row>
    <row r="14" spans="1:65" x14ac:dyDescent="0.25">
      <c r="A14" s="81" t="s">
        <v>117</v>
      </c>
      <c r="B14" s="81">
        <f>IF($C$3=1,B10,IF($C$3=2,C10,IF($C$3=3,D10,"")))</f>
        <v>2200</v>
      </c>
      <c r="C14" s="81"/>
      <c r="D14" s="81"/>
      <c r="E14" s="82"/>
      <c r="F14" s="82"/>
      <c r="G14" s="82" t="s">
        <v>126</v>
      </c>
      <c r="H14" s="82">
        <f>IF($D$3=1,H10,IF($D$3=2,I10,IF($D$3=3,J10,"")))</f>
        <v>1.6</v>
      </c>
      <c r="I14" s="82"/>
      <c r="J14" s="82"/>
      <c r="K14" s="78" t="s">
        <v>116</v>
      </c>
      <c r="N14" s="78">
        <f>ROUND(N12*N8,0)</f>
        <v>6098</v>
      </c>
      <c r="O14" s="78">
        <f t="shared" ref="O14:U14" si="12">ROUND(O12*O8,0)</f>
        <v>10749</v>
      </c>
      <c r="P14" s="78">
        <f t="shared" si="12"/>
        <v>11992</v>
      </c>
      <c r="Q14" s="78">
        <f t="shared" si="12"/>
        <v>17968</v>
      </c>
      <c r="R14" s="78">
        <f t="shared" si="12"/>
        <v>21399</v>
      </c>
      <c r="S14" s="78">
        <f t="shared" si="12"/>
        <v>17867</v>
      </c>
      <c r="T14" s="78">
        <f t="shared" si="12"/>
        <v>23916</v>
      </c>
      <c r="U14" s="78">
        <f t="shared" si="12"/>
        <v>23938</v>
      </c>
      <c r="V14" s="78">
        <f>ROUND(V12*V8,0)</f>
        <v>20989</v>
      </c>
      <c r="W14" s="78">
        <f>ROUND(W12*W8,0)</f>
        <v>27077</v>
      </c>
      <c r="X14" s="78">
        <f>ROUND(X12*X8,0)</f>
        <v>30534</v>
      </c>
      <c r="Y14" s="78">
        <f>ROUND(Y12*Y8,0)</f>
        <v>39634</v>
      </c>
      <c r="Z14" s="78">
        <f>ROUND(Z12*N8,0)</f>
        <v>25841</v>
      </c>
      <c r="AB14" s="263">
        <f>ROUND(AB12*N8,0)</f>
        <v>25841</v>
      </c>
      <c r="AC14" s="263">
        <f t="shared" ref="AC14:AH14" si="13">ROUND(AC12*O8,0)</f>
        <v>27620</v>
      </c>
      <c r="AD14" s="263">
        <f t="shared" si="13"/>
        <v>23520</v>
      </c>
      <c r="AE14" s="263">
        <f t="shared" si="13"/>
        <v>29693</v>
      </c>
      <c r="AF14" s="263">
        <f t="shared" si="13"/>
        <v>31455</v>
      </c>
      <c r="AG14" s="263">
        <f t="shared" si="13"/>
        <v>24156</v>
      </c>
      <c r="AH14" s="263">
        <f t="shared" si="13"/>
        <v>30408</v>
      </c>
      <c r="AK14" s="78" t="s">
        <v>361</v>
      </c>
      <c r="AL14" s="78">
        <f>ROUND(AL12*N8,0)</f>
        <v>25841</v>
      </c>
      <c r="AM14" s="78">
        <f>ROUND(AM12*O8,0)</f>
        <v>27620</v>
      </c>
      <c r="AN14" s="78">
        <f>ROUND(AN13*$D$75,0)</f>
        <v>0</v>
      </c>
      <c r="AO14" s="78">
        <f>ROUND(AO13*$D$75,0)</f>
        <v>0</v>
      </c>
      <c r="AP14" s="78">
        <f>ROUND(AP13*$D$75,0)</f>
        <v>0</v>
      </c>
      <c r="AQ14" s="78">
        <f>ROUND(AQ13*$D$75,0)</f>
        <v>0</v>
      </c>
      <c r="AR14" s="78">
        <f>ROUND(AR13*$D$75,0)</f>
        <v>0</v>
      </c>
      <c r="AS14" s="78" t="s">
        <v>362</v>
      </c>
      <c r="AW14" s="78">
        <f>ROUND(AW12*N8,0)</f>
        <v>25841</v>
      </c>
      <c r="AX14" s="78">
        <f>ROUND(AX12*O8,0)</f>
        <v>27620</v>
      </c>
      <c r="AY14" s="78">
        <f>ROUND(AY13*$D$75,0)</f>
        <v>0</v>
      </c>
      <c r="AZ14" s="78">
        <f>ROUND(AZ13*$D$75,0)</f>
        <v>0</v>
      </c>
      <c r="BA14" s="78">
        <f>ROUND(BA13*$D$75,0)</f>
        <v>0</v>
      </c>
      <c r="BB14" s="78">
        <f>ROUND(BB13*$D$75,0)</f>
        <v>0</v>
      </c>
      <c r="BF14" s="78" t="s">
        <v>474</v>
      </c>
      <c r="BG14" s="181">
        <f>ROUND(BG9*($E$89+$E$90*BG4)*B95,0)</f>
        <v>0</v>
      </c>
      <c r="BH14" s="181">
        <f>ROUND(BH9*($E$89+$E$90*BH4)*C95,0)</f>
        <v>0</v>
      </c>
      <c r="BI14" s="181">
        <f>ROUND(BI9*($E$89+$E$90*BI4)*D95,0)</f>
        <v>0</v>
      </c>
      <c r="BJ14" s="181">
        <f>ROUND(BJ9*($E$89+$E$90*BJ4)*E95,0)</f>
        <v>0</v>
      </c>
      <c r="BK14" s="181">
        <f t="shared" ref="BK14:BM14" si="14">ROUND(BK9*($E$89+$E$90*BK4)*G95,0)</f>
        <v>0</v>
      </c>
      <c r="BL14" s="181">
        <f t="shared" si="14"/>
        <v>0</v>
      </c>
      <c r="BM14" s="181">
        <f t="shared" si="14"/>
        <v>0</v>
      </c>
    </row>
    <row r="15" spans="1:65" x14ac:dyDescent="0.25">
      <c r="A15" s="81" t="s">
        <v>119</v>
      </c>
      <c r="B15" s="81">
        <f>IF($C$3=1,B11,IF($C$3=2,C11,IF($C$3=3,D11,"")))</f>
        <v>7</v>
      </c>
      <c r="C15" s="81"/>
      <c r="D15" s="81"/>
      <c r="E15" s="82"/>
      <c r="F15" s="82"/>
      <c r="G15" s="82" t="s">
        <v>127</v>
      </c>
      <c r="H15" s="82">
        <f>IF($D$3=1,H11,IF($D$3=2,I11,IF($D$3=3,J11,"")))</f>
        <v>1.05</v>
      </c>
      <c r="I15" s="82"/>
      <c r="J15" s="82"/>
      <c r="K15" s="78">
        <f>B14*K13</f>
        <v>6776</v>
      </c>
      <c r="M15" s="78" t="s">
        <v>304</v>
      </c>
      <c r="N15" s="78">
        <f>N14*$E$4</f>
        <v>60980</v>
      </c>
      <c r="O15" s="78">
        <f t="shared" ref="O15:Z15" si="15">O14*$E$4</f>
        <v>107490</v>
      </c>
      <c r="P15" s="78">
        <f t="shared" si="15"/>
        <v>119920</v>
      </c>
      <c r="Q15" s="78">
        <f t="shared" si="15"/>
        <v>179680</v>
      </c>
      <c r="R15" s="78">
        <f t="shared" si="15"/>
        <v>213990</v>
      </c>
      <c r="S15" s="78">
        <f t="shared" si="15"/>
        <v>178670</v>
      </c>
      <c r="T15" s="78">
        <f t="shared" si="15"/>
        <v>239160</v>
      </c>
      <c r="U15" s="78">
        <f t="shared" si="15"/>
        <v>239380</v>
      </c>
      <c r="V15" s="78">
        <f t="shared" si="15"/>
        <v>209890</v>
      </c>
      <c r="W15" s="78">
        <f t="shared" si="15"/>
        <v>270770</v>
      </c>
      <c r="X15" s="78">
        <f t="shared" si="15"/>
        <v>305340</v>
      </c>
      <c r="Y15" s="78">
        <f t="shared" si="15"/>
        <v>396340</v>
      </c>
      <c r="Z15" s="78">
        <f t="shared" si="15"/>
        <v>258410</v>
      </c>
      <c r="AB15" s="263">
        <f>AB14*$E$4</f>
        <v>258410</v>
      </c>
      <c r="AC15" s="263">
        <f t="shared" ref="AC15:AH15" si="16">AC14*$E$4</f>
        <v>276200</v>
      </c>
      <c r="AD15" s="263">
        <f t="shared" si="16"/>
        <v>235200</v>
      </c>
      <c r="AE15" s="263">
        <f t="shared" si="16"/>
        <v>296930</v>
      </c>
      <c r="AF15" s="263">
        <f t="shared" si="16"/>
        <v>314550</v>
      </c>
      <c r="AG15" s="263">
        <f t="shared" si="16"/>
        <v>241560</v>
      </c>
      <c r="AH15" s="263">
        <f t="shared" si="16"/>
        <v>304080</v>
      </c>
      <c r="AL15" s="83">
        <f>AL14*$E$4</f>
        <v>258410</v>
      </c>
      <c r="AM15" s="83">
        <f>AM14*$E$4</f>
        <v>276200</v>
      </c>
      <c r="AN15" s="83">
        <f>AN14*$D$73*$E$4</f>
        <v>0</v>
      </c>
      <c r="AO15" s="83">
        <f>AO14*$D$73*$E$4</f>
        <v>0</v>
      </c>
      <c r="AP15" s="83">
        <f>AP14*$D$73*$E$4</f>
        <v>0</v>
      </c>
      <c r="AQ15" s="83">
        <f>AQ14*$D$73*$E$4</f>
        <v>0</v>
      </c>
      <c r="AR15" s="78">
        <f>AR14*$D$73*$E$4</f>
        <v>0</v>
      </c>
      <c r="AS15" s="78" t="s">
        <v>363</v>
      </c>
      <c r="BF15" s="78" t="s">
        <v>475</v>
      </c>
      <c r="BG15" s="182">
        <f>BG14*$D$73*$E$4</f>
        <v>0</v>
      </c>
      <c r="BH15" s="182">
        <f t="shared" ref="BH15:BM15" si="17">BH14*$D$73*$E$4</f>
        <v>0</v>
      </c>
      <c r="BI15" s="182">
        <f t="shared" si="17"/>
        <v>0</v>
      </c>
      <c r="BJ15" s="182">
        <f t="shared" si="17"/>
        <v>0</v>
      </c>
      <c r="BK15" s="182">
        <f t="shared" si="17"/>
        <v>0</v>
      </c>
      <c r="BL15" s="182">
        <f t="shared" si="17"/>
        <v>0</v>
      </c>
      <c r="BM15" s="182">
        <f t="shared" si="17"/>
        <v>0</v>
      </c>
    </row>
    <row r="16" spans="1:65" x14ac:dyDescent="0.25">
      <c r="A16" s="81" t="s">
        <v>120</v>
      </c>
      <c r="B16" s="81" t="str">
        <f>IF($C$3=1,"",IF($C$3=2,"",IF($C$3=3,D12,"")))</f>
        <v/>
      </c>
      <c r="C16" s="81"/>
      <c r="D16" s="81"/>
      <c r="E16" s="82"/>
      <c r="F16" s="82"/>
      <c r="G16" s="82"/>
      <c r="H16" s="82"/>
      <c r="I16" s="82"/>
      <c r="J16" s="82"/>
      <c r="M16" s="78" t="s">
        <v>128</v>
      </c>
      <c r="N16" s="78">
        <f>ROUNDUP(N14/3000,0)+2+N35+N57</f>
        <v>5</v>
      </c>
      <c r="O16" s="78">
        <f t="shared" ref="O16:Y16" si="18">ROUNDUP(O14/3000,0)+2+O35+O57</f>
        <v>6</v>
      </c>
      <c r="P16" s="78">
        <f t="shared" si="18"/>
        <v>6</v>
      </c>
      <c r="Q16" s="78">
        <f t="shared" si="18"/>
        <v>8</v>
      </c>
      <c r="R16" s="78">
        <f t="shared" si="18"/>
        <v>10</v>
      </c>
      <c r="S16" s="78">
        <f t="shared" si="18"/>
        <v>8</v>
      </c>
      <c r="T16" s="78">
        <f t="shared" si="18"/>
        <v>13</v>
      </c>
      <c r="U16" s="78">
        <f t="shared" si="18"/>
        <v>13</v>
      </c>
      <c r="V16" s="78">
        <f t="shared" si="18"/>
        <v>11</v>
      </c>
      <c r="W16" s="78">
        <f t="shared" si="18"/>
        <v>15</v>
      </c>
      <c r="X16" s="78">
        <f t="shared" si="18"/>
        <v>16</v>
      </c>
      <c r="Y16" s="78">
        <f t="shared" si="18"/>
        <v>20</v>
      </c>
      <c r="AB16" s="263">
        <f t="shared" ref="AB16:AG16" si="19">ROUNDUP(AB14/3000,0)+2+AB35+AB57</f>
        <v>14</v>
      </c>
      <c r="AC16" s="263">
        <f t="shared" si="19"/>
        <v>15</v>
      </c>
      <c r="AD16" s="263">
        <f t="shared" si="19"/>
        <v>12</v>
      </c>
      <c r="AE16" s="263">
        <f t="shared" si="19"/>
        <v>15</v>
      </c>
      <c r="AF16" s="263">
        <f t="shared" si="19"/>
        <v>16</v>
      </c>
      <c r="AG16" s="263">
        <f t="shared" si="19"/>
        <v>14</v>
      </c>
      <c r="AH16" s="263"/>
      <c r="AL16" s="78">
        <f>AB16</f>
        <v>14</v>
      </c>
      <c r="AM16" s="78">
        <f>AC16</f>
        <v>15</v>
      </c>
      <c r="AN16" s="78">
        <f>ROUND(AN13*$D$74,0)</f>
        <v>0</v>
      </c>
      <c r="AO16" s="78">
        <f>ROUND(AO13*$D$74,0)</f>
        <v>0</v>
      </c>
      <c r="AP16" s="78">
        <f>ROUND(AP13*$D$74,0)</f>
        <v>0</v>
      </c>
      <c r="AQ16" s="78">
        <f>ROUND(AQ13*$D$74,0)</f>
        <v>0</v>
      </c>
      <c r="AR16" s="78">
        <f>ROUND(AR13*$D$74,0)</f>
        <v>0</v>
      </c>
      <c r="AS16" s="78" t="s">
        <v>365</v>
      </c>
      <c r="AY16" s="78">
        <f>ROUND(AY13*$D$74,0)</f>
        <v>0</v>
      </c>
      <c r="AZ16" s="78">
        <f>ROUND(AZ13*$D$74,0)</f>
        <v>0</v>
      </c>
      <c r="BA16" s="78">
        <f>ROUND(BA13*$D$74,0)</f>
        <v>0</v>
      </c>
      <c r="BB16" s="78">
        <f>ROUND(BB13*$D$74,0)</f>
        <v>0</v>
      </c>
      <c r="BF16" s="78" t="s">
        <v>396</v>
      </c>
      <c r="BG16" s="286">
        <f t="shared" ref="BG16:BM16" si="20">ROUND((BG10+BG12+BG14)*$G$5,2)</f>
        <v>0</v>
      </c>
      <c r="BH16" s="286">
        <f t="shared" si="20"/>
        <v>0</v>
      </c>
      <c r="BI16" s="286">
        <f t="shared" si="20"/>
        <v>0</v>
      </c>
      <c r="BJ16" s="286">
        <f t="shared" si="20"/>
        <v>0</v>
      </c>
      <c r="BK16" s="286">
        <f t="shared" si="20"/>
        <v>0</v>
      </c>
      <c r="BL16" s="286">
        <f t="shared" si="20"/>
        <v>0</v>
      </c>
      <c r="BM16" s="286">
        <f t="shared" si="20"/>
        <v>0</v>
      </c>
    </row>
    <row r="17" spans="1:66" x14ac:dyDescent="0.25">
      <c r="A17" s="84" t="s">
        <v>176</v>
      </c>
      <c r="B17" s="84">
        <v>6</v>
      </c>
      <c r="C17" s="84"/>
      <c r="D17" s="84" t="s">
        <v>326</v>
      </c>
      <c r="E17" s="85">
        <f>MIN('2019 6-mth Cash Budget'!C37:H37)</f>
        <v>-25864.289999999994</v>
      </c>
      <c r="F17" s="86" t="s">
        <v>134</v>
      </c>
      <c r="G17" s="86"/>
      <c r="H17" s="86"/>
      <c r="I17" s="86"/>
      <c r="J17" s="86"/>
      <c r="K17" s="78" t="s">
        <v>122</v>
      </c>
      <c r="M17" s="78" t="s">
        <v>131</v>
      </c>
      <c r="O17" s="78">
        <f t="shared" ref="O17:T17" si="21">N16*$K$3*160</f>
        <v>25600</v>
      </c>
      <c r="P17" s="78">
        <f t="shared" si="21"/>
        <v>30720</v>
      </c>
      <c r="Q17" s="78">
        <f t="shared" si="21"/>
        <v>30720</v>
      </c>
      <c r="R17" s="78">
        <f t="shared" si="21"/>
        <v>40960</v>
      </c>
      <c r="S17" s="78">
        <f t="shared" si="21"/>
        <v>51200</v>
      </c>
      <c r="T17" s="78">
        <f t="shared" si="21"/>
        <v>40960</v>
      </c>
      <c r="U17" s="78">
        <f t="shared" ref="U17:Z17" si="22">(T16+T35)*$K$3*160</f>
        <v>81920</v>
      </c>
      <c r="V17" s="78">
        <f t="shared" si="22"/>
        <v>81920</v>
      </c>
      <c r="W17" s="78">
        <f t="shared" si="22"/>
        <v>66560</v>
      </c>
      <c r="X17" s="78">
        <f t="shared" si="22"/>
        <v>92160</v>
      </c>
      <c r="Y17" s="78">
        <f t="shared" si="22"/>
        <v>97280</v>
      </c>
      <c r="Z17" s="78">
        <f t="shared" si="22"/>
        <v>122880</v>
      </c>
      <c r="AA17" s="78" t="s">
        <v>573</v>
      </c>
      <c r="AB17" s="263">
        <f t="shared" ref="AB17:AG17" si="23">(AB16+AB35)*$K$3*160</f>
        <v>87040</v>
      </c>
      <c r="AC17" s="263">
        <f t="shared" si="23"/>
        <v>92160</v>
      </c>
      <c r="AD17" s="263">
        <f t="shared" si="23"/>
        <v>71680</v>
      </c>
      <c r="AE17" s="263">
        <f t="shared" si="23"/>
        <v>92160</v>
      </c>
      <c r="AF17" s="263">
        <f t="shared" si="23"/>
        <v>97280</v>
      </c>
      <c r="AG17" s="263">
        <f t="shared" si="23"/>
        <v>87040</v>
      </c>
      <c r="AH17" s="263"/>
      <c r="AL17" s="78">
        <f>AB17</f>
        <v>87040</v>
      </c>
      <c r="AM17" s="78">
        <f>AC17</f>
        <v>92160</v>
      </c>
      <c r="AN17" s="83">
        <f>AN16*$D$73*$E$4</f>
        <v>0</v>
      </c>
      <c r="AO17" s="83">
        <f>AO16*$D$73*$E$4</f>
        <v>0</v>
      </c>
      <c r="AP17" s="83">
        <f>AP16*$D$73*$E$4</f>
        <v>0</v>
      </c>
      <c r="AQ17" s="83">
        <f>AQ16*$D$73*$E$4</f>
        <v>0</v>
      </c>
      <c r="AR17" s="78">
        <f>AR16*$D$73*$E$4</f>
        <v>0</v>
      </c>
      <c r="AS17" s="78" t="s">
        <v>366</v>
      </c>
      <c r="BF17" s="78" t="s">
        <v>206</v>
      </c>
      <c r="BG17" s="286">
        <f t="shared" ref="BG17:BL17" si="24">ROUND(0.75*BG16+0.25*BH16,2)</f>
        <v>0</v>
      </c>
      <c r="BH17" s="286">
        <f t="shared" si="24"/>
        <v>0</v>
      </c>
      <c r="BI17" s="286">
        <f t="shared" si="24"/>
        <v>0</v>
      </c>
      <c r="BJ17" s="286">
        <f t="shared" si="24"/>
        <v>0</v>
      </c>
      <c r="BK17" s="286">
        <f t="shared" si="24"/>
        <v>0</v>
      </c>
      <c r="BL17" s="286">
        <f t="shared" si="24"/>
        <v>0</v>
      </c>
      <c r="BM17" s="286">
        <f>ROUND((0.25*BM16),2)</f>
        <v>0</v>
      </c>
      <c r="BN17" s="78" t="s">
        <v>371</v>
      </c>
    </row>
    <row r="18" spans="1:66" x14ac:dyDescent="0.25">
      <c r="A18" s="84" t="s">
        <v>150</v>
      </c>
      <c r="B18" s="84">
        <f>B13+B17*H13</f>
        <v>288000</v>
      </c>
      <c r="C18" s="84" t="s">
        <v>735</v>
      </c>
      <c r="D18" s="289" t="s">
        <v>327</v>
      </c>
      <c r="E18" s="290">
        <f>D19+D20+D21-E17+250000</f>
        <v>425864.29</v>
      </c>
      <c r="F18" s="86"/>
      <c r="G18" s="86" t="s">
        <v>70</v>
      </c>
      <c r="H18" s="86" t="s">
        <v>135</v>
      </c>
      <c r="I18" s="86" t="s">
        <v>136</v>
      </c>
      <c r="J18" s="86" t="s">
        <v>137</v>
      </c>
      <c r="K18" s="78">
        <f>(H15*H3*B15*J44*K51)/8</f>
        <v>0.82687500000000003</v>
      </c>
      <c r="M18" s="78" t="s">
        <v>132</v>
      </c>
      <c r="N18" s="286">
        <f>ROUND(N14*$G$5,2)</f>
        <v>24392</v>
      </c>
      <c r="O18" s="181">
        <f t="shared" ref="O18:Y18" si="25">ROUND(O14*$G$5,2)</f>
        <v>42996</v>
      </c>
      <c r="P18" s="181">
        <f t="shared" si="25"/>
        <v>47968</v>
      </c>
      <c r="Q18" s="181">
        <f t="shared" si="25"/>
        <v>71872</v>
      </c>
      <c r="R18" s="181">
        <f t="shared" si="25"/>
        <v>85596</v>
      </c>
      <c r="S18" s="181">
        <f t="shared" si="25"/>
        <v>71468</v>
      </c>
      <c r="T18" s="181">
        <f t="shared" si="25"/>
        <v>95664</v>
      </c>
      <c r="U18" s="181">
        <f t="shared" si="25"/>
        <v>95752</v>
      </c>
      <c r="V18" s="181">
        <f t="shared" si="25"/>
        <v>83956</v>
      </c>
      <c r="W18" s="181">
        <f t="shared" si="25"/>
        <v>108308</v>
      </c>
      <c r="X18" s="181">
        <f t="shared" si="25"/>
        <v>122136</v>
      </c>
      <c r="Y18" s="181">
        <f t="shared" si="25"/>
        <v>158536</v>
      </c>
      <c r="Z18" s="286">
        <f>Z14*$G$5</f>
        <v>103364</v>
      </c>
      <c r="AA18" s="78" t="s">
        <v>210</v>
      </c>
      <c r="AB18" s="288">
        <f t="shared" ref="AB18:AH18" si="26">AB14*$G$5</f>
        <v>103364</v>
      </c>
      <c r="AC18" s="288">
        <f t="shared" si="26"/>
        <v>110480</v>
      </c>
      <c r="AD18" s="288">
        <f t="shared" si="26"/>
        <v>94080</v>
      </c>
      <c r="AE18" s="288">
        <f t="shared" si="26"/>
        <v>118772</v>
      </c>
      <c r="AF18" s="288">
        <f t="shared" si="26"/>
        <v>125820</v>
      </c>
      <c r="AG18" s="288">
        <f t="shared" si="26"/>
        <v>96624</v>
      </c>
      <c r="AH18" s="288">
        <f t="shared" si="26"/>
        <v>121632</v>
      </c>
      <c r="AL18" s="78">
        <f>ROUND(AL14*$G$5,2)</f>
        <v>103364</v>
      </c>
      <c r="AM18" s="78">
        <f>ROUND(AM14*$G$5,2)</f>
        <v>110480</v>
      </c>
      <c r="AN18" s="78">
        <f>(AN14+AN16)*$G$5</f>
        <v>0</v>
      </c>
      <c r="AO18" s="78">
        <f>(AO14+AO16)*$G$5</f>
        <v>0</v>
      </c>
      <c r="AP18" s="78">
        <f>(AP14+AP16)*$G$5</f>
        <v>0</v>
      </c>
      <c r="AQ18" s="78">
        <f>(AQ14+AQ16)*$G$5</f>
        <v>0</v>
      </c>
      <c r="AR18" s="77"/>
      <c r="AS18" s="78" t="s">
        <v>396</v>
      </c>
      <c r="BM18" s="286">
        <f>SUM(BG16:BL16)</f>
        <v>0</v>
      </c>
    </row>
    <row r="19" spans="1:66" x14ac:dyDescent="0.25">
      <c r="A19" s="84" t="s">
        <v>152</v>
      </c>
      <c r="B19" s="84">
        <v>100</v>
      </c>
      <c r="C19" s="84">
        <f>Financing!$B$10</f>
        <v>0</v>
      </c>
      <c r="D19" s="84">
        <f>IF(Financing!$B$10="",B19*1000,IF(C19&lt;0,0,IF(C19&gt;100000,100000,ROUND(C19,0))))</f>
        <v>100000</v>
      </c>
      <c r="E19" s="84">
        <f>ROUNDUP(E18,0)</f>
        <v>425865</v>
      </c>
      <c r="F19" s="86" t="s">
        <v>67</v>
      </c>
      <c r="G19" s="86">
        <v>21000</v>
      </c>
      <c r="H19" s="86">
        <v>17000</v>
      </c>
      <c r="I19" s="86">
        <v>32000</v>
      </c>
      <c r="J19" s="86">
        <v>13000</v>
      </c>
      <c r="K19" s="78" t="s">
        <v>129</v>
      </c>
      <c r="M19" s="78" t="s">
        <v>206</v>
      </c>
      <c r="N19" s="286">
        <f>ROUND(N18+0.25*O18,2)</f>
        <v>35141</v>
      </c>
      <c r="O19" s="181">
        <f t="shared" ref="O19:Y19" si="27">ROUND(O18-ROUND((0.25*O18),2)+0.25*P18,2)</f>
        <v>44239</v>
      </c>
      <c r="P19" s="181">
        <f t="shared" si="27"/>
        <v>53944</v>
      </c>
      <c r="Q19" s="181">
        <f t="shared" si="27"/>
        <v>75303</v>
      </c>
      <c r="R19" s="181">
        <f t="shared" si="27"/>
        <v>82064</v>
      </c>
      <c r="S19" s="181">
        <f t="shared" si="27"/>
        <v>77517</v>
      </c>
      <c r="T19" s="181">
        <f t="shared" si="27"/>
        <v>95686</v>
      </c>
      <c r="U19" s="181">
        <f t="shared" si="27"/>
        <v>92803</v>
      </c>
      <c r="V19" s="181">
        <f t="shared" si="27"/>
        <v>90044</v>
      </c>
      <c r="W19" s="181">
        <f t="shared" si="27"/>
        <v>111765</v>
      </c>
      <c r="X19" s="181">
        <f t="shared" si="27"/>
        <v>131236</v>
      </c>
      <c r="Y19" s="181">
        <f t="shared" si="27"/>
        <v>144743</v>
      </c>
      <c r="Z19" s="286">
        <f>ROUND(0.25*Z18,2)</f>
        <v>25841</v>
      </c>
      <c r="AA19" s="78" t="s">
        <v>207</v>
      </c>
      <c r="AB19" s="288">
        <f t="shared" ref="AB19:AG19" si="28">0.75*AB18+0.25*AC18</f>
        <v>105143</v>
      </c>
      <c r="AC19" s="288">
        <f t="shared" si="28"/>
        <v>106380</v>
      </c>
      <c r="AD19" s="288">
        <f t="shared" si="28"/>
        <v>100253</v>
      </c>
      <c r="AE19" s="288">
        <f t="shared" si="28"/>
        <v>120534</v>
      </c>
      <c r="AF19" s="288">
        <f t="shared" si="28"/>
        <v>118521</v>
      </c>
      <c r="AG19" s="288">
        <f t="shared" si="28"/>
        <v>102876</v>
      </c>
      <c r="AH19" s="288">
        <f>0.25*AH18</f>
        <v>30408</v>
      </c>
      <c r="AI19" s="78" t="s">
        <v>207</v>
      </c>
      <c r="AL19" s="286">
        <f>ROUND(AL18-ROUND((0.25*AL18),2)+0.25*AM18,2)</f>
        <v>105143</v>
      </c>
      <c r="AM19" s="286">
        <f>ROUND(AM18-ROUND((0.25*AM18),2)+0.25*AN18,2)</f>
        <v>82860</v>
      </c>
      <c r="AN19" s="286">
        <f t="shared" ref="AN19:AQ19" si="29">ROUND(AN18-ROUND((0.25*AN18),2)+0.25*AO18,2)</f>
        <v>0</v>
      </c>
      <c r="AO19" s="286">
        <f t="shared" si="29"/>
        <v>0</v>
      </c>
      <c r="AP19" s="286">
        <f t="shared" si="29"/>
        <v>0</v>
      </c>
      <c r="AQ19" s="286">
        <f t="shared" si="29"/>
        <v>0</v>
      </c>
      <c r="AR19" s="164">
        <f>0.75*AQ18</f>
        <v>0</v>
      </c>
      <c r="AS19" s="164" t="s">
        <v>512</v>
      </c>
      <c r="AT19" s="164"/>
      <c r="AU19" s="164"/>
      <c r="BD19" s="78" t="s">
        <v>418</v>
      </c>
      <c r="BG19" s="78">
        <f>IF(AND($G$57=1,$G$67=2,B95=0),0,ROUNDUP((BG10+BG12+BG14)/3000,0)+2)</f>
        <v>0</v>
      </c>
      <c r="BH19" s="78">
        <f>IF(AND($G$57=1,$G$67=2,C95=0),0,ROUNDUP((BH10+BH12+BH14)/3000,0)+2)</f>
        <v>0</v>
      </c>
      <c r="BI19" s="78">
        <f>IF(AND($G$57=1,$G$67=2,D95=0),0,ROUNDUP((BI10+BI12+BI14)/3000,0)+2)</f>
        <v>0</v>
      </c>
      <c r="BJ19" s="78">
        <f>IF(AND($G$57=1,$G$67=2,E95=0),0,ROUNDUP((BJ10+BJ12+BJ14)/3000,0)+2)</f>
        <v>0</v>
      </c>
      <c r="BK19" s="78">
        <f>IF(AND($G$57=1,$G$67=2,G95=0),0,ROUNDUP((BK10+BK12+BK14)/3000,0)+2)</f>
        <v>0</v>
      </c>
      <c r="BL19" s="78">
        <f>IF(AND($G$57=1,$G$67=2,H95=0),0,ROUNDUP((BL10+BL12+BL14)/3000,0)+2)</f>
        <v>0</v>
      </c>
      <c r="BM19" s="78">
        <f>IF(AND($G$57=1,$G$67=2,I95=0),0,ROUNDUP((BM10+BM12+BM14)/3000,0)+2)</f>
        <v>0</v>
      </c>
      <c r="BN19" s="78" t="s">
        <v>371</v>
      </c>
    </row>
    <row r="20" spans="1:66" x14ac:dyDescent="0.25">
      <c r="A20" s="84" t="s">
        <v>153</v>
      </c>
      <c r="B20" s="84">
        <v>50</v>
      </c>
      <c r="C20" s="84">
        <f>Financing!$B$16</f>
        <v>0</v>
      </c>
      <c r="D20" s="84">
        <f>IF(Financing!B16="",B20*1000,IF(C20&lt;0,0,IF(C20&gt;500000,500000,ROUND(C20,0))))</f>
        <v>50000</v>
      </c>
      <c r="E20" s="84"/>
      <c r="F20" s="86" t="s">
        <v>68</v>
      </c>
      <c r="G20" s="86">
        <v>15</v>
      </c>
      <c r="H20" s="86">
        <v>10</v>
      </c>
      <c r="I20" s="86">
        <v>17</v>
      </c>
      <c r="J20" s="86">
        <v>8</v>
      </c>
      <c r="K20" s="78">
        <f>K15*K18</f>
        <v>5602.9049999999997</v>
      </c>
      <c r="M20" s="78" t="s">
        <v>133</v>
      </c>
      <c r="N20" s="78">
        <f>ROUNDUP(N14/$I$26,0)</f>
        <v>2</v>
      </c>
      <c r="O20" s="78">
        <f t="shared" ref="O20:Y20" si="30">ROUNDUP(O14/$I$26,0)</f>
        <v>2</v>
      </c>
      <c r="P20" s="78">
        <f t="shared" si="30"/>
        <v>2</v>
      </c>
      <c r="Q20" s="78">
        <f t="shared" si="30"/>
        <v>3</v>
      </c>
      <c r="R20" s="78">
        <f t="shared" si="30"/>
        <v>4</v>
      </c>
      <c r="S20" s="78">
        <f t="shared" si="30"/>
        <v>3</v>
      </c>
      <c r="T20" s="78">
        <f t="shared" si="30"/>
        <v>4</v>
      </c>
      <c r="U20" s="78">
        <f t="shared" si="30"/>
        <v>4</v>
      </c>
      <c r="V20" s="78">
        <f t="shared" si="30"/>
        <v>4</v>
      </c>
      <c r="W20" s="78">
        <f t="shared" si="30"/>
        <v>5</v>
      </c>
      <c r="X20" s="78">
        <f t="shared" si="30"/>
        <v>6</v>
      </c>
      <c r="Y20" s="78">
        <f t="shared" si="30"/>
        <v>7</v>
      </c>
      <c r="Z20" s="78">
        <f>SUM(N18:Y18)</f>
        <v>1008644</v>
      </c>
      <c r="AA20" s="78" t="s">
        <v>209</v>
      </c>
      <c r="AB20" s="263">
        <f t="shared" ref="AB20:AG20" si="31">ROUNDUP(AB14/$I$26,0)</f>
        <v>5</v>
      </c>
      <c r="AC20" s="263">
        <f t="shared" si="31"/>
        <v>5</v>
      </c>
      <c r="AD20" s="263">
        <f t="shared" si="31"/>
        <v>4</v>
      </c>
      <c r="AE20" s="263">
        <f t="shared" si="31"/>
        <v>5</v>
      </c>
      <c r="AF20" s="263">
        <f t="shared" si="31"/>
        <v>6</v>
      </c>
      <c r="AG20" s="263">
        <f t="shared" si="31"/>
        <v>5</v>
      </c>
      <c r="AH20" s="263"/>
      <c r="AL20" s="78">
        <f t="shared" ref="AL20:AM26" si="32">AB20</f>
        <v>5</v>
      </c>
      <c r="AM20" s="78">
        <f t="shared" si="32"/>
        <v>5</v>
      </c>
      <c r="AR20" s="181">
        <f>SUM(AL18:AQ18)</f>
        <v>213844</v>
      </c>
      <c r="AS20" s="78" t="s">
        <v>395</v>
      </c>
      <c r="BD20" s="87" t="s">
        <v>377</v>
      </c>
      <c r="BG20" s="78">
        <f>BG19+BG35+BG57+2</f>
        <v>2</v>
      </c>
      <c r="BH20" s="78">
        <f t="shared" ref="BH20:BM20" si="33">BH19+BH35+BH57+2</f>
        <v>2</v>
      </c>
      <c r="BI20" s="78">
        <f t="shared" si="33"/>
        <v>2</v>
      </c>
      <c r="BJ20" s="78">
        <f t="shared" si="33"/>
        <v>2</v>
      </c>
      <c r="BK20" s="78">
        <f t="shared" si="33"/>
        <v>2</v>
      </c>
      <c r="BL20" s="78">
        <f t="shared" si="33"/>
        <v>2</v>
      </c>
      <c r="BM20" s="78">
        <f t="shared" si="33"/>
        <v>2</v>
      </c>
      <c r="BN20" s="78" t="s">
        <v>395</v>
      </c>
    </row>
    <row r="21" spans="1:66" x14ac:dyDescent="0.25">
      <c r="A21" s="84" t="s">
        <v>154</v>
      </c>
      <c r="B21" s="84">
        <v>0</v>
      </c>
      <c r="C21" s="84">
        <f>Financing!$B$29</f>
        <v>0</v>
      </c>
      <c r="D21" s="84">
        <f>IF(Financing!B29="",B21*1000,IF(C21&lt;0,0,IF(C21&gt;2000000,2000000,ROUND(C21,0))))</f>
        <v>0</v>
      </c>
      <c r="E21" s="84"/>
      <c r="F21" s="86" t="s">
        <v>138</v>
      </c>
      <c r="G21" s="86">
        <v>6000</v>
      </c>
      <c r="H21" s="86">
        <v>5500</v>
      </c>
      <c r="I21" s="86">
        <v>7500</v>
      </c>
      <c r="J21" s="86">
        <v>4000</v>
      </c>
      <c r="M21" s="78" t="s">
        <v>145</v>
      </c>
      <c r="N21" s="78">
        <f>N20</f>
        <v>2</v>
      </c>
      <c r="O21" s="78">
        <f>IF(N21&gt;O20,N21,O20)</f>
        <v>2</v>
      </c>
      <c r="P21" s="78">
        <f t="shared" ref="P21:Y21" si="34">IF(O21&gt;P20,O21,P20)</f>
        <v>2</v>
      </c>
      <c r="Q21" s="78">
        <f t="shared" si="34"/>
        <v>3</v>
      </c>
      <c r="R21" s="78">
        <f t="shared" si="34"/>
        <v>4</v>
      </c>
      <c r="S21" s="78">
        <f t="shared" si="34"/>
        <v>4</v>
      </c>
      <c r="T21" s="78">
        <f t="shared" si="34"/>
        <v>4</v>
      </c>
      <c r="U21" s="78">
        <f t="shared" si="34"/>
        <v>4</v>
      </c>
      <c r="V21" s="78">
        <f t="shared" si="34"/>
        <v>4</v>
      </c>
      <c r="W21" s="78">
        <f t="shared" si="34"/>
        <v>5</v>
      </c>
      <c r="X21" s="78">
        <f t="shared" si="34"/>
        <v>6</v>
      </c>
      <c r="Y21" s="78">
        <f t="shared" si="34"/>
        <v>7</v>
      </c>
      <c r="AB21" s="263">
        <f>Y21</f>
        <v>7</v>
      </c>
      <c r="AC21" s="263">
        <f>IF(AB21&gt;AC20,AB21,AC20)</f>
        <v>7</v>
      </c>
      <c r="AD21" s="263">
        <f>IF(AC21&gt;AD20,AC21,AD20)</f>
        <v>7</v>
      </c>
      <c r="AE21" s="263">
        <f>IF(AD21&gt;AE20,AD21,AE20)</f>
        <v>7</v>
      </c>
      <c r="AF21" s="263">
        <f>IF(AE21&gt;AF20,AE21,AF20)</f>
        <v>7</v>
      </c>
      <c r="AG21" s="263">
        <f>IF(AF21&gt;AG20,AF21,AG20)</f>
        <v>7</v>
      </c>
      <c r="AH21" s="263"/>
      <c r="AL21" s="78">
        <f t="shared" si="32"/>
        <v>7</v>
      </c>
      <c r="AM21" s="78">
        <f t="shared" si="32"/>
        <v>7</v>
      </c>
      <c r="AN21" s="87">
        <f>IF(AND($G$57=1,$G$67=2),0,ROUNDUP((AN14+AN16)/3000,0)+2)</f>
        <v>0</v>
      </c>
      <c r="AO21" s="87">
        <f>IF(AND($G$57=1,$G$67=2),0,ROUNDUP((AO14+AO16)/3000,0)+2)</f>
        <v>0</v>
      </c>
      <c r="AP21" s="87">
        <f>IF(AND($G$57=1,$G$67=2),0,ROUNDUP((AP14+AP16)/3000,0)+2)</f>
        <v>0</v>
      </c>
      <c r="AQ21" s="87">
        <f>IF(AND($G$57=1,$G$67=2),0,ROUNDUP((AQ14+AQ16)/3000,0)+2)</f>
        <v>0</v>
      </c>
      <c r="AR21" s="87"/>
      <c r="AS21" s="87" t="s">
        <v>376</v>
      </c>
      <c r="AW21" s="78">
        <f>AB21</f>
        <v>7</v>
      </c>
      <c r="AX21" s="78">
        <f>AC21</f>
        <v>7</v>
      </c>
      <c r="AY21" s="78">
        <f>IF(AND($G$57=1,$G$67=2),0,ROUNDUP((AY14+AY16)/3000,0)+2)</f>
        <v>0</v>
      </c>
      <c r="AZ21" s="78">
        <f>IF(AND($G$57=1,$G$67=2),0,ROUNDUP((AZ14+AZ16)/3000,0)+2)</f>
        <v>0</v>
      </c>
      <c r="BA21" s="78">
        <f>IF(AND($G$57=1,$G$67=2),0,ROUNDUP((BA14+BA16)/3000,0)+2)</f>
        <v>0</v>
      </c>
      <c r="BB21" s="78">
        <f>IF(AND($G$57=1,$G$67=2),0,ROUNDUP((BB14+BB16)/3000,0)+2)</f>
        <v>0</v>
      </c>
      <c r="BD21" s="78" t="s">
        <v>490</v>
      </c>
      <c r="BG21" s="78">
        <f t="shared" ref="BG21:BL21" si="35">MAX(BG20,$I$59)</f>
        <v>2</v>
      </c>
      <c r="BH21" s="78">
        <f t="shared" si="35"/>
        <v>2</v>
      </c>
      <c r="BI21" s="78">
        <f t="shared" si="35"/>
        <v>2</v>
      </c>
      <c r="BJ21" s="78">
        <f t="shared" si="35"/>
        <v>2</v>
      </c>
      <c r="BK21" s="78">
        <f t="shared" si="35"/>
        <v>2</v>
      </c>
      <c r="BL21" s="78">
        <f t="shared" si="35"/>
        <v>2</v>
      </c>
    </row>
    <row r="22" spans="1:66" x14ac:dyDescent="0.25">
      <c r="A22" s="84"/>
      <c r="B22" s="84"/>
      <c r="C22" s="84"/>
      <c r="D22" s="84"/>
      <c r="E22" s="84"/>
      <c r="F22" s="86" t="s">
        <v>139</v>
      </c>
      <c r="G22" s="86">
        <v>1200</v>
      </c>
      <c r="H22" s="86">
        <v>1000</v>
      </c>
      <c r="I22" s="86">
        <v>1100</v>
      </c>
      <c r="J22" s="86">
        <v>800</v>
      </c>
      <c r="K22" s="78" t="s">
        <v>144</v>
      </c>
      <c r="M22" s="78" t="s">
        <v>146</v>
      </c>
      <c r="N22" s="78">
        <f>N21</f>
        <v>2</v>
      </c>
      <c r="O22" s="78">
        <f>O21-N21</f>
        <v>0</v>
      </c>
      <c r="P22" s="78">
        <f t="shared" ref="P22:Y22" si="36">P21-O21</f>
        <v>0</v>
      </c>
      <c r="Q22" s="78">
        <f t="shared" si="36"/>
        <v>1</v>
      </c>
      <c r="R22" s="78">
        <f t="shared" si="36"/>
        <v>1</v>
      </c>
      <c r="S22" s="78">
        <f t="shared" si="36"/>
        <v>0</v>
      </c>
      <c r="T22" s="78">
        <f t="shared" si="36"/>
        <v>0</v>
      </c>
      <c r="U22" s="78">
        <f t="shared" si="36"/>
        <v>0</v>
      </c>
      <c r="V22" s="78">
        <f t="shared" si="36"/>
        <v>0</v>
      </c>
      <c r="W22" s="78">
        <f t="shared" si="36"/>
        <v>1</v>
      </c>
      <c r="X22" s="78">
        <f t="shared" si="36"/>
        <v>1</v>
      </c>
      <c r="Y22" s="78">
        <f t="shared" si="36"/>
        <v>1</v>
      </c>
      <c r="AB22" s="263">
        <f>AB21-Y21</f>
        <v>0</v>
      </c>
      <c r="AC22" s="263">
        <f>AC21-AB21</f>
        <v>0</v>
      </c>
      <c r="AD22" s="263">
        <f>AD21-AC21</f>
        <v>0</v>
      </c>
      <c r="AE22" s="263">
        <f>AE21-AD21</f>
        <v>0</v>
      </c>
      <c r="AF22" s="263">
        <f>AF21-AE21</f>
        <v>0</v>
      </c>
      <c r="AG22" s="263">
        <f>AG21-AF21</f>
        <v>0</v>
      </c>
      <c r="AH22" s="263"/>
      <c r="AL22" s="78">
        <f t="shared" si="32"/>
        <v>0</v>
      </c>
      <c r="AM22" s="78">
        <f t="shared" si="32"/>
        <v>0</v>
      </c>
      <c r="AN22" s="87">
        <f>AN21+AN35+AN57</f>
        <v>0</v>
      </c>
      <c r="AO22" s="87">
        <f>AO21+AO35+AO57</f>
        <v>0</v>
      </c>
      <c r="AP22" s="87">
        <f>AP21+AP35+AP57</f>
        <v>0</v>
      </c>
      <c r="AQ22" s="87">
        <f>AQ21+AQ35+AQ57</f>
        <v>0</v>
      </c>
      <c r="AR22" s="87"/>
      <c r="AS22" s="87" t="s">
        <v>377</v>
      </c>
      <c r="AY22" s="78">
        <f>AY21+AY35+AY57</f>
        <v>0</v>
      </c>
      <c r="AZ22" s="78">
        <f>AZ21+AZ35+AZ57</f>
        <v>0</v>
      </c>
      <c r="BA22" s="78">
        <f>BA21+BA35+BA57</f>
        <v>0</v>
      </c>
      <c r="BB22" s="78">
        <f>BB21+BB35+BB57</f>
        <v>0</v>
      </c>
      <c r="BD22" s="78" t="s">
        <v>479</v>
      </c>
      <c r="BG22" s="78">
        <f>IF(B95=1,$B$69,$D$69)</f>
        <v>840</v>
      </c>
      <c r="BH22" s="78">
        <f>IF(C95=1,$B$69,$D$69)</f>
        <v>840</v>
      </c>
      <c r="BI22" s="78">
        <f>IF(D95=1,$B$69,$D$69)</f>
        <v>840</v>
      </c>
      <c r="BJ22" s="78">
        <f>IF(E95=1,$B$69,$D$69)</f>
        <v>840</v>
      </c>
      <c r="BK22" s="78">
        <f t="shared" ref="BK22:BM22" si="37">IF(G95=1,$B$69,$D$69)</f>
        <v>840</v>
      </c>
      <c r="BL22" s="78">
        <f t="shared" si="37"/>
        <v>840</v>
      </c>
      <c r="BM22" s="78">
        <f t="shared" si="37"/>
        <v>840</v>
      </c>
    </row>
    <row r="23" spans="1:66" x14ac:dyDescent="0.25">
      <c r="A23" s="84" t="s">
        <v>155</v>
      </c>
      <c r="B23" s="84">
        <f>ROUND((D21/(D19+D21))*100,2)</f>
        <v>0</v>
      </c>
      <c r="C23" s="84">
        <f>100-B23</f>
        <v>100</v>
      </c>
      <c r="D23" s="84"/>
      <c r="E23" s="84"/>
      <c r="F23" s="86"/>
      <c r="G23" s="86">
        <v>1</v>
      </c>
      <c r="H23" s="86"/>
      <c r="I23" s="86"/>
      <c r="J23" s="86"/>
      <c r="K23" s="78">
        <f>ROUNDUP(N14/I26,0)</f>
        <v>2</v>
      </c>
      <c r="M23" s="78" t="s">
        <v>551</v>
      </c>
      <c r="N23" s="78">
        <f>IF(N22*$I$24=0,"",N22*$I$24)</f>
        <v>42000</v>
      </c>
      <c r="O23" s="78">
        <f t="shared" ref="O23:Y23" si="38">O22*$I$24</f>
        <v>0</v>
      </c>
      <c r="P23" s="78">
        <f t="shared" si="38"/>
        <v>0</v>
      </c>
      <c r="Q23" s="78">
        <f t="shared" si="38"/>
        <v>21000</v>
      </c>
      <c r="R23" s="78">
        <f t="shared" si="38"/>
        <v>21000</v>
      </c>
      <c r="S23" s="78">
        <f t="shared" si="38"/>
        <v>0</v>
      </c>
      <c r="T23" s="78">
        <f t="shared" si="38"/>
        <v>0</v>
      </c>
      <c r="U23" s="78">
        <f t="shared" si="38"/>
        <v>0</v>
      </c>
      <c r="V23" s="78">
        <f t="shared" si="38"/>
        <v>0</v>
      </c>
      <c r="W23" s="78">
        <f t="shared" si="38"/>
        <v>21000</v>
      </c>
      <c r="X23" s="78">
        <f t="shared" si="38"/>
        <v>21000</v>
      </c>
      <c r="Y23" s="78">
        <f t="shared" si="38"/>
        <v>21000</v>
      </c>
      <c r="Z23" s="78">
        <f>SUM(N23:Y23)</f>
        <v>147000</v>
      </c>
      <c r="AB23" s="263">
        <f t="shared" ref="AB23:AG23" si="39">AB22*$I$24</f>
        <v>0</v>
      </c>
      <c r="AC23" s="263">
        <f t="shared" si="39"/>
        <v>0</v>
      </c>
      <c r="AD23" s="263">
        <f t="shared" si="39"/>
        <v>0</v>
      </c>
      <c r="AE23" s="263">
        <f t="shared" si="39"/>
        <v>0</v>
      </c>
      <c r="AF23" s="263">
        <f t="shared" si="39"/>
        <v>0</v>
      </c>
      <c r="AG23" s="263">
        <f t="shared" si="39"/>
        <v>0</v>
      </c>
      <c r="AH23" s="263"/>
      <c r="AL23" s="78">
        <f t="shared" si="32"/>
        <v>0</v>
      </c>
      <c r="AM23" s="78">
        <f t="shared" si="32"/>
        <v>0</v>
      </c>
      <c r="BD23" s="78" t="s">
        <v>491</v>
      </c>
      <c r="BG23" s="78">
        <f t="shared" ref="BG23:BL23" si="40">BG21*$K$3*160</f>
        <v>10240</v>
      </c>
      <c r="BH23" s="78">
        <f t="shared" si="40"/>
        <v>10240</v>
      </c>
      <c r="BI23" s="78">
        <f t="shared" si="40"/>
        <v>10240</v>
      </c>
      <c r="BJ23" s="78">
        <f t="shared" si="40"/>
        <v>10240</v>
      </c>
      <c r="BK23" s="78">
        <f t="shared" si="40"/>
        <v>10240</v>
      </c>
      <c r="BL23" s="78">
        <f t="shared" si="40"/>
        <v>10240</v>
      </c>
    </row>
    <row r="24" spans="1:66" x14ac:dyDescent="0.25">
      <c r="A24" s="84" t="s">
        <v>165</v>
      </c>
      <c r="B24" s="84">
        <f>ROUND((D20*B29/100),2)</f>
        <v>2300</v>
      </c>
      <c r="C24" s="84"/>
      <c r="D24" s="84"/>
      <c r="E24" s="84"/>
      <c r="F24" s="86" t="s">
        <v>70</v>
      </c>
      <c r="G24" s="86"/>
      <c r="H24" s="86" t="s">
        <v>140</v>
      </c>
      <c r="I24" s="86">
        <f>IF($G$23=1,G19,IF($G$23=2,H19,IF($G$23=3,I19,IF($G$23=4,J19,""))))</f>
        <v>21000</v>
      </c>
      <c r="J24" s="86"/>
      <c r="M24" s="78" t="s">
        <v>147</v>
      </c>
      <c r="O24" s="78">
        <f>N21*$I$27+$I$35</f>
        <v>2400</v>
      </c>
      <c r="P24" s="78">
        <f t="shared" ref="P24:Y24" si="41">O21*$I$27+$I$35</f>
        <v>2400</v>
      </c>
      <c r="Q24" s="78">
        <f t="shared" si="41"/>
        <v>2400</v>
      </c>
      <c r="R24" s="78">
        <f t="shared" si="41"/>
        <v>3600</v>
      </c>
      <c r="S24" s="78">
        <f t="shared" si="41"/>
        <v>4800</v>
      </c>
      <c r="T24" s="78">
        <f t="shared" si="41"/>
        <v>4800</v>
      </c>
      <c r="U24" s="78">
        <f t="shared" si="41"/>
        <v>4800</v>
      </c>
      <c r="V24" s="78">
        <f t="shared" si="41"/>
        <v>4800</v>
      </c>
      <c r="W24" s="78">
        <f t="shared" si="41"/>
        <v>4800</v>
      </c>
      <c r="X24" s="78">
        <f t="shared" si="41"/>
        <v>6000</v>
      </c>
      <c r="Y24" s="78">
        <f t="shared" si="41"/>
        <v>7200</v>
      </c>
      <c r="Z24" s="78">
        <f>Y21*$I$27+$I$35</f>
        <v>8400</v>
      </c>
      <c r="AA24" s="78" t="s">
        <v>205</v>
      </c>
      <c r="AB24" s="263">
        <f>Y21*$I$27+$I$35</f>
        <v>8400</v>
      </c>
      <c r="AC24" s="263">
        <f t="shared" ref="AC24:AH24" si="42">AB21*$I$27+$I$35</f>
        <v>8400</v>
      </c>
      <c r="AD24" s="263">
        <f t="shared" si="42"/>
        <v>8400</v>
      </c>
      <c r="AE24" s="263">
        <f t="shared" si="42"/>
        <v>8400</v>
      </c>
      <c r="AF24" s="263">
        <f t="shared" si="42"/>
        <v>8400</v>
      </c>
      <c r="AG24" s="263">
        <f t="shared" si="42"/>
        <v>8400</v>
      </c>
      <c r="AH24" s="263">
        <f t="shared" si="42"/>
        <v>8400</v>
      </c>
      <c r="AI24" s="78" t="s">
        <v>320</v>
      </c>
      <c r="AL24" s="78">
        <f t="shared" si="32"/>
        <v>8400</v>
      </c>
      <c r="AM24" s="78">
        <f t="shared" si="32"/>
        <v>8400</v>
      </c>
      <c r="AN24" s="78">
        <f>AD24</f>
        <v>8400</v>
      </c>
      <c r="AR24" s="78" t="s">
        <v>370</v>
      </c>
      <c r="BD24" s="78" t="s">
        <v>552</v>
      </c>
      <c r="BF24" s="78">
        <f>(Z23/$I$25)</f>
        <v>9800</v>
      </c>
    </row>
    <row r="25" spans="1:66" x14ac:dyDescent="0.25">
      <c r="A25" s="84" t="s">
        <v>157</v>
      </c>
      <c r="B25" s="84">
        <f>D20*0.005</f>
        <v>250</v>
      </c>
      <c r="C25" s="84"/>
      <c r="D25" s="84"/>
      <c r="E25" s="84"/>
      <c r="F25" s="86" t="s">
        <v>135</v>
      </c>
      <c r="G25" s="86"/>
      <c r="H25" s="86" t="s">
        <v>141</v>
      </c>
      <c r="I25" s="86">
        <f>IF($G$23=1,G20,IF($G$23=2,H20,IF($G$23=3,I20,IF($G$23=4,J20,""))))</f>
        <v>15</v>
      </c>
      <c r="J25" s="86"/>
      <c r="N25" s="78">
        <v>12</v>
      </c>
      <c r="O25" s="78">
        <v>11</v>
      </c>
      <c r="P25" s="78">
        <v>10</v>
      </c>
      <c r="Q25" s="78">
        <v>9</v>
      </c>
      <c r="R25" s="78">
        <v>8</v>
      </c>
      <c r="S25" s="78">
        <v>7</v>
      </c>
      <c r="T25" s="78">
        <v>6</v>
      </c>
      <c r="U25" s="78">
        <v>5</v>
      </c>
      <c r="V25" s="78">
        <v>4</v>
      </c>
      <c r="W25" s="78">
        <v>3</v>
      </c>
      <c r="X25" s="78">
        <v>2</v>
      </c>
      <c r="Y25" s="78">
        <v>1</v>
      </c>
      <c r="AB25" s="263">
        <v>12</v>
      </c>
      <c r="AC25" s="263">
        <v>11</v>
      </c>
      <c r="AD25" s="263">
        <v>10</v>
      </c>
      <c r="AE25" s="263">
        <v>9</v>
      </c>
      <c r="AF25" s="263">
        <v>8</v>
      </c>
      <c r="AG25" s="263">
        <v>7</v>
      </c>
      <c r="AH25" s="263"/>
      <c r="AL25" s="78">
        <f t="shared" si="32"/>
        <v>12</v>
      </c>
      <c r="AM25" s="78">
        <f t="shared" si="32"/>
        <v>11</v>
      </c>
      <c r="AN25" s="78">
        <v>10</v>
      </c>
      <c r="AO25" s="78">
        <v>9</v>
      </c>
      <c r="AP25" s="78">
        <v>8</v>
      </c>
      <c r="AQ25" s="78">
        <v>7</v>
      </c>
      <c r="BD25" s="78" t="s">
        <v>408</v>
      </c>
      <c r="BG25" s="78">
        <f>ROUND(BG10*$D$76,0)</f>
        <v>0</v>
      </c>
      <c r="BH25" s="78">
        <f t="shared" ref="BH25:BM25" si="43">ROUND(BH10*$D$76,0)</f>
        <v>0</v>
      </c>
      <c r="BI25" s="78">
        <f t="shared" si="43"/>
        <v>0</v>
      </c>
      <c r="BJ25" s="78">
        <f t="shared" si="43"/>
        <v>0</v>
      </c>
      <c r="BK25" s="78">
        <f t="shared" si="43"/>
        <v>0</v>
      </c>
      <c r="BL25" s="78">
        <f t="shared" si="43"/>
        <v>0</v>
      </c>
      <c r="BM25" s="78">
        <f t="shared" si="43"/>
        <v>0</v>
      </c>
    </row>
    <row r="26" spans="1:66" x14ac:dyDescent="0.25">
      <c r="A26" s="84" t="s">
        <v>156</v>
      </c>
      <c r="B26" s="84">
        <f>IF(E19-D19-D20-D21&gt;0,E19-D19-D20-D21,0)</f>
        <v>275865</v>
      </c>
      <c r="C26" s="84"/>
      <c r="D26" s="84"/>
      <c r="E26" s="84"/>
      <c r="F26" s="86" t="s">
        <v>136</v>
      </c>
      <c r="G26" s="86"/>
      <c r="H26" s="86" t="s">
        <v>142</v>
      </c>
      <c r="I26" s="86">
        <f>IF($G$23=1,G21,IF($G$23=2,H21,IF($G$23=3,I21,IF($G$23=4,J21,""))))</f>
        <v>6000</v>
      </c>
      <c r="J26" s="86"/>
      <c r="M26" s="78" t="s">
        <v>550</v>
      </c>
      <c r="N26" s="78">
        <f t="shared" ref="N26:X26" si="44">(N23/$I$25)*(N25/12)</f>
        <v>2800</v>
      </c>
      <c r="O26" s="78">
        <f t="shared" si="44"/>
        <v>0</v>
      </c>
      <c r="P26" s="78">
        <f t="shared" si="44"/>
        <v>0</v>
      </c>
      <c r="Q26" s="78">
        <f t="shared" si="44"/>
        <v>1050</v>
      </c>
      <c r="R26" s="78">
        <f t="shared" si="44"/>
        <v>933.33333333333326</v>
      </c>
      <c r="S26" s="78">
        <f t="shared" si="44"/>
        <v>0</v>
      </c>
      <c r="T26" s="78">
        <f t="shared" si="44"/>
        <v>0</v>
      </c>
      <c r="U26" s="78">
        <f t="shared" si="44"/>
        <v>0</v>
      </c>
      <c r="V26" s="78">
        <f t="shared" si="44"/>
        <v>0</v>
      </c>
      <c r="W26" s="78">
        <f t="shared" si="44"/>
        <v>350</v>
      </c>
      <c r="X26" s="78">
        <f t="shared" si="44"/>
        <v>233.33333333333331</v>
      </c>
      <c r="Y26" s="78">
        <f>ROUND((Y23/$I$25)*(Y25/12),2)</f>
        <v>116.67</v>
      </c>
      <c r="Z26" s="78">
        <f>ROUND(SUM(N26:Y26),2)</f>
        <v>5483.34</v>
      </c>
      <c r="AB26" s="263">
        <f t="shared" ref="AB26:AG26" si="45">(AB23/$I$25)*(AB25/12)</f>
        <v>0</v>
      </c>
      <c r="AC26" s="263">
        <f t="shared" si="45"/>
        <v>0</v>
      </c>
      <c r="AD26" s="263">
        <f t="shared" si="45"/>
        <v>0</v>
      </c>
      <c r="AE26" s="263">
        <f t="shared" si="45"/>
        <v>0</v>
      </c>
      <c r="AF26" s="263">
        <f t="shared" si="45"/>
        <v>0</v>
      </c>
      <c r="AG26" s="263">
        <f t="shared" si="45"/>
        <v>0</v>
      </c>
      <c r="AH26" s="263">
        <f>SUM(AB26:AG26)</f>
        <v>0</v>
      </c>
      <c r="AI26" s="78">
        <f>(Z23/$I$25)/2</f>
        <v>4900</v>
      </c>
      <c r="AJ26" s="78" t="s">
        <v>406</v>
      </c>
      <c r="AL26" s="78">
        <f t="shared" si="32"/>
        <v>0</v>
      </c>
      <c r="AM26" s="78">
        <f t="shared" si="32"/>
        <v>0</v>
      </c>
      <c r="AQ26" s="78">
        <f>AL26+AM26</f>
        <v>0</v>
      </c>
      <c r="AR26" s="78">
        <f>AI26</f>
        <v>4900</v>
      </c>
      <c r="AS26" s="78" t="s">
        <v>416</v>
      </c>
      <c r="BD26" s="88" t="s">
        <v>409</v>
      </c>
      <c r="BE26" s="88"/>
      <c r="BF26" s="88"/>
      <c r="BG26" s="88">
        <f>BG25*$D$77</f>
        <v>0</v>
      </c>
      <c r="BH26" s="88">
        <f t="shared" ref="BH26:BM26" si="46">BH25*$D$77</f>
        <v>0</v>
      </c>
      <c r="BI26" s="88">
        <f t="shared" si="46"/>
        <v>0</v>
      </c>
      <c r="BJ26" s="88">
        <f t="shared" si="46"/>
        <v>0</v>
      </c>
      <c r="BK26" s="88">
        <f t="shared" si="46"/>
        <v>0</v>
      </c>
      <c r="BL26" s="88">
        <f t="shared" si="46"/>
        <v>0</v>
      </c>
      <c r="BM26" s="88">
        <f t="shared" si="46"/>
        <v>0</v>
      </c>
    </row>
    <row r="27" spans="1:66" x14ac:dyDescent="0.25">
      <c r="A27" s="84"/>
      <c r="B27" s="84"/>
      <c r="C27" s="84"/>
      <c r="D27" s="84"/>
      <c r="E27" s="84"/>
      <c r="F27" s="86" t="s">
        <v>137</v>
      </c>
      <c r="G27" s="86"/>
      <c r="H27" s="86" t="s">
        <v>143</v>
      </c>
      <c r="I27" s="86">
        <f>IF($G$23=1,G22,IF($G$23=2,H22,IF($G$23=3,I22,IF($G$23=4,J22,""))))</f>
        <v>1200</v>
      </c>
      <c r="J27" s="86"/>
      <c r="AB27" s="263"/>
      <c r="AC27" s="263"/>
      <c r="AD27" s="263"/>
      <c r="AE27" s="263"/>
      <c r="AF27" s="263"/>
      <c r="AG27" s="263"/>
      <c r="AH27" s="263"/>
      <c r="AN27" s="78">
        <f>ROUND(AN14*$D$76,0)</f>
        <v>0</v>
      </c>
      <c r="AO27" s="78">
        <f>ROUND(AO14*$D$76,0)</f>
        <v>0</v>
      </c>
      <c r="AP27" s="78">
        <f>ROUND(AP14*$D$76,0)</f>
        <v>0</v>
      </c>
      <c r="AQ27" s="78">
        <f>ROUND(AQ14*$D$76,0)</f>
        <v>0</v>
      </c>
      <c r="AS27" s="78" t="s">
        <v>408</v>
      </c>
      <c r="AY27" s="78">
        <f>ROUND(AY14*$D$76,0)</f>
        <v>0</v>
      </c>
      <c r="AZ27" s="78">
        <f>ROUND(AZ14*$D$76,0)</f>
        <v>0</v>
      </c>
      <c r="BA27" s="78">
        <f>ROUND(BA14*$D$76,0)</f>
        <v>0</v>
      </c>
      <c r="BB27" s="78">
        <f>ROUND(BB14*$D$76,0)</f>
        <v>0</v>
      </c>
      <c r="BD27" s="78" t="s">
        <v>410</v>
      </c>
      <c r="BG27" s="78">
        <f>ROUND(BG12*$D$76,0)</f>
        <v>0</v>
      </c>
      <c r="BH27" s="78">
        <f t="shared" ref="BH27:BM27" si="47">ROUND(BH12*$D$76,0)</f>
        <v>0</v>
      </c>
      <c r="BI27" s="78">
        <f t="shared" si="47"/>
        <v>0</v>
      </c>
      <c r="BJ27" s="78">
        <f t="shared" si="47"/>
        <v>0</v>
      </c>
      <c r="BK27" s="78">
        <f t="shared" si="47"/>
        <v>0</v>
      </c>
      <c r="BL27" s="78">
        <f t="shared" si="47"/>
        <v>0</v>
      </c>
      <c r="BM27" s="78">
        <f t="shared" si="47"/>
        <v>0</v>
      </c>
    </row>
    <row r="28" spans="1:66" x14ac:dyDescent="0.25">
      <c r="A28" s="84" t="s">
        <v>158</v>
      </c>
      <c r="B28" s="84">
        <v>3</v>
      </c>
      <c r="C28" s="84">
        <f>Financing!B22</f>
        <v>0</v>
      </c>
      <c r="D28" s="84">
        <f>IF(Financing!B22="",B28,IF(C28&lt;3,3,IF(C28&gt;30,30,ROUND(C28,0))))</f>
        <v>3</v>
      </c>
      <c r="E28" s="84">
        <f>B28*12</f>
        <v>36</v>
      </c>
      <c r="F28" s="86"/>
      <c r="G28" s="86"/>
      <c r="H28" s="86"/>
      <c r="I28" s="86"/>
      <c r="J28" s="86"/>
      <c r="M28" s="78" t="s">
        <v>194</v>
      </c>
      <c r="O28" s="78">
        <f>ROUND(O18-ROUND((0.25*O18),2)+0.25*P18,2)</f>
        <v>44239</v>
      </c>
      <c r="T28" s="78">
        <f t="shared" ref="T28:Z28" si="48">ROUND(T14*$D$45,0)</f>
        <v>12133</v>
      </c>
      <c r="U28" s="78">
        <f t="shared" si="48"/>
        <v>12144</v>
      </c>
      <c r="V28" s="78">
        <f t="shared" si="48"/>
        <v>10648</v>
      </c>
      <c r="W28" s="78">
        <f t="shared" si="48"/>
        <v>13736</v>
      </c>
      <c r="X28" s="78">
        <f t="shared" si="48"/>
        <v>15490</v>
      </c>
      <c r="Y28" s="78">
        <f t="shared" si="48"/>
        <v>20106</v>
      </c>
      <c r="Z28" s="78">
        <f t="shared" si="48"/>
        <v>13109</v>
      </c>
      <c r="AB28" s="263">
        <f>ROUND(AB14*$D$45,0)</f>
        <v>13109</v>
      </c>
      <c r="AC28" s="263">
        <f t="shared" ref="AC28:AH28" si="49">ROUND(AC14*$D$45,0)</f>
        <v>14012</v>
      </c>
      <c r="AD28" s="263">
        <f t="shared" si="49"/>
        <v>11932</v>
      </c>
      <c r="AE28" s="263">
        <f t="shared" si="49"/>
        <v>15063</v>
      </c>
      <c r="AF28" s="263">
        <f t="shared" si="49"/>
        <v>15957</v>
      </c>
      <c r="AG28" s="263">
        <f t="shared" si="49"/>
        <v>12254</v>
      </c>
      <c r="AH28" s="263">
        <f t="shared" si="49"/>
        <v>15426</v>
      </c>
      <c r="AL28" s="78">
        <f>ROUND(AL14*$D$45,0)</f>
        <v>13109</v>
      </c>
      <c r="AM28" s="78">
        <f>ROUND(AM14*$D$45,0)</f>
        <v>14012</v>
      </c>
      <c r="AN28" s="88">
        <f>AN27*$D$77</f>
        <v>0</v>
      </c>
      <c r="AO28" s="88">
        <f>AO27*$D$77</f>
        <v>0</v>
      </c>
      <c r="AP28" s="88">
        <f>AP27*$D$77</f>
        <v>0</v>
      </c>
      <c r="AQ28" s="88">
        <f>AQ27*$D$77</f>
        <v>0</v>
      </c>
      <c r="AR28" s="88"/>
      <c r="AS28" s="78" t="s">
        <v>409</v>
      </c>
      <c r="AW28" s="78">
        <f>ROUND(AW14*$D$45,0)</f>
        <v>13109</v>
      </c>
      <c r="AX28" s="78">
        <f>ROUND(AX14*$D$45,0)</f>
        <v>14012</v>
      </c>
      <c r="BD28" s="88" t="s">
        <v>411</v>
      </c>
      <c r="BE28" s="88"/>
      <c r="BF28" s="88"/>
      <c r="BG28" s="88">
        <f t="shared" ref="BG28:BM28" si="50">BG27*$D$77</f>
        <v>0</v>
      </c>
      <c r="BH28" s="88">
        <f t="shared" si="50"/>
        <v>0</v>
      </c>
      <c r="BI28" s="88">
        <f t="shared" si="50"/>
        <v>0</v>
      </c>
      <c r="BJ28" s="88">
        <f t="shared" si="50"/>
        <v>0</v>
      </c>
      <c r="BK28" s="88">
        <f t="shared" si="50"/>
        <v>0</v>
      </c>
      <c r="BL28" s="88">
        <f t="shared" si="50"/>
        <v>0</v>
      </c>
      <c r="BM28" s="88">
        <f t="shared" si="50"/>
        <v>0</v>
      </c>
    </row>
    <row r="29" spans="1:66" x14ac:dyDescent="0.25">
      <c r="A29" s="84" t="s">
        <v>159</v>
      </c>
      <c r="B29" s="84">
        <f>4+0.2*D28</f>
        <v>4.5999999999999996</v>
      </c>
      <c r="C29" s="84">
        <f>B29/1200</f>
        <v>3.8333333333333331E-3</v>
      </c>
      <c r="D29" s="84"/>
      <c r="E29" s="84"/>
      <c r="M29" s="78" t="s">
        <v>195</v>
      </c>
      <c r="T29" s="78">
        <f>T28*$D$43</f>
        <v>48532</v>
      </c>
      <c r="U29" s="78">
        <f t="shared" ref="U29:Z29" si="51">U28*$D$43</f>
        <v>48576</v>
      </c>
      <c r="V29" s="78">
        <f t="shared" si="51"/>
        <v>42592</v>
      </c>
      <c r="W29" s="78">
        <f t="shared" si="51"/>
        <v>54944</v>
      </c>
      <c r="X29" s="78">
        <f t="shared" si="51"/>
        <v>61960</v>
      </c>
      <c r="Y29" s="78">
        <f t="shared" si="51"/>
        <v>80424</v>
      </c>
      <c r="Z29" s="78">
        <f t="shared" si="51"/>
        <v>52436</v>
      </c>
      <c r="AB29" s="263">
        <f t="shared" ref="AB29:AG29" si="52">AB28*$D$43</f>
        <v>52436</v>
      </c>
      <c r="AC29" s="263">
        <f t="shared" si="52"/>
        <v>56048</v>
      </c>
      <c r="AD29" s="263">
        <f t="shared" si="52"/>
        <v>47728</v>
      </c>
      <c r="AE29" s="263">
        <f t="shared" si="52"/>
        <v>60252</v>
      </c>
      <c r="AF29" s="263">
        <f t="shared" si="52"/>
        <v>63828</v>
      </c>
      <c r="AG29" s="263">
        <f t="shared" si="52"/>
        <v>49016</v>
      </c>
      <c r="AH29" s="263"/>
      <c r="AL29" s="88">
        <f>AL28*$D$43</f>
        <v>52436</v>
      </c>
      <c r="AM29" s="88">
        <f>AM28*$D$43</f>
        <v>56048</v>
      </c>
      <c r="AN29" s="78">
        <f>ROUND(AN16*$D$76,0)</f>
        <v>0</v>
      </c>
      <c r="AO29" s="78">
        <f>ROUND(AO16*$D$76,0)</f>
        <v>0</v>
      </c>
      <c r="AP29" s="78">
        <f>ROUND(AP16*$D$76,0)</f>
        <v>0</v>
      </c>
      <c r="AQ29" s="78">
        <f>ROUND(AQ16*$D$76,0)</f>
        <v>0</v>
      </c>
      <c r="AS29" s="78" t="s">
        <v>410</v>
      </c>
      <c r="AY29" s="78">
        <f>ROUND(AY16*$D$76,0)</f>
        <v>0</v>
      </c>
      <c r="AZ29" s="78">
        <f>ROUND(AZ16*$D$76,0)</f>
        <v>0</v>
      </c>
      <c r="BA29" s="78">
        <f>ROUND(BA16*$D$76,0)</f>
        <v>0</v>
      </c>
      <c r="BB29" s="78">
        <f>ROUND(BB16*$D$76,0)</f>
        <v>0</v>
      </c>
      <c r="BD29" s="78" t="s">
        <v>480</v>
      </c>
      <c r="BG29" s="78">
        <f>ROUND(BG14*$D$76,0)</f>
        <v>0</v>
      </c>
      <c r="BH29" s="78">
        <f t="shared" ref="BH29:BM29" si="53">ROUND(BH14*$D$76,0)</f>
        <v>0</v>
      </c>
      <c r="BI29" s="78">
        <f t="shared" si="53"/>
        <v>0</v>
      </c>
      <c r="BJ29" s="78">
        <f t="shared" si="53"/>
        <v>0</v>
      </c>
      <c r="BK29" s="78">
        <f t="shared" si="53"/>
        <v>0</v>
      </c>
      <c r="BL29" s="78">
        <f t="shared" si="53"/>
        <v>0</v>
      </c>
      <c r="BM29" s="78">
        <f t="shared" si="53"/>
        <v>0</v>
      </c>
    </row>
    <row r="30" spans="1:66" x14ac:dyDescent="0.25">
      <c r="A30" s="84" t="s">
        <v>160</v>
      </c>
      <c r="B30" s="84">
        <f>ROUND((1-(1/(1+(C$29))^$E28))/(C$29),4)</f>
        <v>33.566499999999998</v>
      </c>
      <c r="C30" s="84"/>
      <c r="D30" s="84"/>
      <c r="E30" s="84"/>
      <c r="G30" s="78">
        <f>(G21*G20)/(G19*G21)*1000</f>
        <v>0.7142857142857143</v>
      </c>
      <c r="H30" s="78">
        <f>(H21*H20)/(H19*H21)*1000</f>
        <v>0.58823529411764697</v>
      </c>
      <c r="I30" s="78">
        <f>(I21*I20)/(I19*I21)*1000</f>
        <v>0.53125</v>
      </c>
      <c r="J30" s="78">
        <f>(J21*J20)/(J19*J21)*1000</f>
        <v>0.61538461538461542</v>
      </c>
      <c r="M30" s="78" t="s">
        <v>196</v>
      </c>
      <c r="T30" s="78">
        <f>T28*$B$43</f>
        <v>16986.2</v>
      </c>
      <c r="U30" s="78">
        <f t="shared" ref="U30:Z30" si="54">U28*$B$43</f>
        <v>17001.599999999999</v>
      </c>
      <c r="V30" s="78">
        <f t="shared" si="54"/>
        <v>14907.199999999999</v>
      </c>
      <c r="W30" s="78">
        <f t="shared" si="54"/>
        <v>19230.399999999998</v>
      </c>
      <c r="X30" s="78">
        <f t="shared" si="54"/>
        <v>21686</v>
      </c>
      <c r="Y30" s="78">
        <f t="shared" si="54"/>
        <v>28148.399999999998</v>
      </c>
      <c r="Z30" s="78">
        <f t="shared" si="54"/>
        <v>18352.599999999999</v>
      </c>
      <c r="AA30" s="78" t="s">
        <v>210</v>
      </c>
      <c r="AB30" s="263">
        <f>AB28*$B$43</f>
        <v>18352.599999999999</v>
      </c>
      <c r="AC30" s="263">
        <f t="shared" ref="AC30:AH30" si="55">AC28*$B$43</f>
        <v>19616.8</v>
      </c>
      <c r="AD30" s="263">
        <f t="shared" si="55"/>
        <v>16704.8</v>
      </c>
      <c r="AE30" s="263">
        <f t="shared" si="55"/>
        <v>21088.199999999997</v>
      </c>
      <c r="AF30" s="263">
        <f t="shared" si="55"/>
        <v>22339.8</v>
      </c>
      <c r="AG30" s="263">
        <f t="shared" si="55"/>
        <v>17155.599999999999</v>
      </c>
      <c r="AH30" s="263">
        <f t="shared" si="55"/>
        <v>21596.399999999998</v>
      </c>
      <c r="AL30" s="89">
        <f>AL28*$B$43</f>
        <v>18352.599999999999</v>
      </c>
      <c r="AM30" s="89">
        <f>AM28*$B$43</f>
        <v>19616.8</v>
      </c>
      <c r="AN30" s="88">
        <f>AN29*$D$77</f>
        <v>0</v>
      </c>
      <c r="AO30" s="88">
        <f>AO29*$D$77</f>
        <v>0</v>
      </c>
      <c r="AP30" s="88">
        <f>AP29*$D$77</f>
        <v>0</v>
      </c>
      <c r="AQ30" s="88">
        <f>AQ29*$D$77</f>
        <v>0</v>
      </c>
      <c r="AR30" s="88"/>
      <c r="AS30" s="78" t="s">
        <v>411</v>
      </c>
      <c r="BD30" s="88" t="s">
        <v>481</v>
      </c>
      <c r="BE30" s="88"/>
      <c r="BF30" s="88"/>
      <c r="BG30" s="88">
        <f t="shared" ref="BG30:BM30" si="56">BG29*$D$77</f>
        <v>0</v>
      </c>
      <c r="BH30" s="88">
        <f t="shared" si="56"/>
        <v>0</v>
      </c>
      <c r="BI30" s="88">
        <f t="shared" si="56"/>
        <v>0</v>
      </c>
      <c r="BJ30" s="88">
        <f t="shared" si="56"/>
        <v>0</v>
      </c>
      <c r="BK30" s="88">
        <f t="shared" si="56"/>
        <v>0</v>
      </c>
      <c r="BL30" s="88">
        <f t="shared" si="56"/>
        <v>0</v>
      </c>
      <c r="BM30" s="88">
        <f t="shared" si="56"/>
        <v>0</v>
      </c>
    </row>
    <row r="31" spans="1:66" x14ac:dyDescent="0.25">
      <c r="A31" s="84" t="s">
        <v>161</v>
      </c>
      <c r="B31" s="84">
        <f>ROUND(D20/B30,2)</f>
        <v>1489.58</v>
      </c>
      <c r="C31" s="84" t="s">
        <v>166</v>
      </c>
      <c r="D31" s="84">
        <f>B31*12</f>
        <v>17874.96</v>
      </c>
      <c r="E31" s="78" t="s">
        <v>175</v>
      </c>
      <c r="G31" s="78">
        <f>G21/280</f>
        <v>21.428571428571427</v>
      </c>
      <c r="H31" s="78">
        <f>H21/280</f>
        <v>19.642857142857142</v>
      </c>
      <c r="I31" s="78">
        <f>I21/280</f>
        <v>26.785714285714285</v>
      </c>
      <c r="J31" s="78">
        <f>J21/280</f>
        <v>14.285714285714286</v>
      </c>
      <c r="M31" s="78" t="s">
        <v>197</v>
      </c>
      <c r="T31" s="78">
        <f t="shared" ref="T31:Y31" si="57">IF($B$41=2,0,(ROUNDUP(T28/$B$46,0)))</f>
        <v>2</v>
      </c>
      <c r="U31" s="78">
        <f t="shared" si="57"/>
        <v>2</v>
      </c>
      <c r="V31" s="78">
        <f t="shared" si="57"/>
        <v>2</v>
      </c>
      <c r="W31" s="78">
        <f t="shared" si="57"/>
        <v>2</v>
      </c>
      <c r="X31" s="78">
        <f t="shared" si="57"/>
        <v>2</v>
      </c>
      <c r="Y31" s="78">
        <f t="shared" si="57"/>
        <v>3</v>
      </c>
      <c r="AB31" s="263">
        <f t="shared" ref="AB31:AG31" si="58">IF($B$41=2,0,(ROUNDUP(AB28/$B$46,0)))</f>
        <v>2</v>
      </c>
      <c r="AC31" s="263">
        <f t="shared" si="58"/>
        <v>2</v>
      </c>
      <c r="AD31" s="263">
        <f t="shared" si="58"/>
        <v>2</v>
      </c>
      <c r="AE31" s="263">
        <f t="shared" si="58"/>
        <v>2</v>
      </c>
      <c r="AF31" s="263">
        <f t="shared" si="58"/>
        <v>2</v>
      </c>
      <c r="AG31" s="263">
        <f t="shared" si="58"/>
        <v>2</v>
      </c>
      <c r="AH31" s="263"/>
      <c r="AL31" s="78">
        <f t="shared" ref="AL31:AM34" si="59">AB31</f>
        <v>2</v>
      </c>
      <c r="AM31" s="78">
        <f t="shared" si="59"/>
        <v>2</v>
      </c>
      <c r="AN31" s="89">
        <f>(AN27+AN29)*$B$43</f>
        <v>0</v>
      </c>
      <c r="AO31" s="89">
        <f>(AO27+AO29)*$B$43</f>
        <v>0</v>
      </c>
      <c r="AP31" s="89">
        <f>(AP27+AP29)*$B$43</f>
        <v>0</v>
      </c>
      <c r="AQ31" s="89">
        <f>(AQ27+AQ29)*$B$43</f>
        <v>0</v>
      </c>
      <c r="AR31" s="89"/>
      <c r="AS31" s="78" t="s">
        <v>412</v>
      </c>
      <c r="BD31" s="78" t="s">
        <v>412</v>
      </c>
      <c r="BG31" s="89">
        <f>ROUND((BG25+BG27+BG29)*$B$43,2)</f>
        <v>0</v>
      </c>
      <c r="BH31" s="89">
        <f t="shared" ref="BH31:BM31" si="60">ROUND((BH25+BH27+BH29)*$B$43,2)</f>
        <v>0</v>
      </c>
      <c r="BI31" s="89">
        <f t="shared" si="60"/>
        <v>0</v>
      </c>
      <c r="BJ31" s="89">
        <f t="shared" si="60"/>
        <v>0</v>
      </c>
      <c r="BK31" s="89">
        <f t="shared" si="60"/>
        <v>0</v>
      </c>
      <c r="BL31" s="89">
        <f t="shared" si="60"/>
        <v>0</v>
      </c>
      <c r="BM31" s="89">
        <f t="shared" si="60"/>
        <v>0</v>
      </c>
    </row>
    <row r="32" spans="1:66" x14ac:dyDescent="0.25">
      <c r="A32" s="84" t="s">
        <v>169</v>
      </c>
      <c r="B32" s="84">
        <f>D31-B24</f>
        <v>15574.96</v>
      </c>
      <c r="C32" s="84" t="s">
        <v>496</v>
      </c>
      <c r="D32" s="84"/>
      <c r="M32" s="78" t="s">
        <v>198</v>
      </c>
      <c r="T32" s="78">
        <f>T31</f>
        <v>2</v>
      </c>
      <c r="U32" s="78">
        <f>IF(T32&gt;U31,T32,U31)</f>
        <v>2</v>
      </c>
      <c r="V32" s="78">
        <f>IF(U32&gt;V31,U32,V31)</f>
        <v>2</v>
      </c>
      <c r="W32" s="78">
        <f>IF(V32&gt;W31,V32,W31)</f>
        <v>2</v>
      </c>
      <c r="X32" s="78">
        <f>IF(W32&gt;X31,W32,X31)</f>
        <v>2</v>
      </c>
      <c r="Y32" s="78">
        <f>IF(X32&gt;Y31,X32,Y31)</f>
        <v>3</v>
      </c>
      <c r="AB32" s="263">
        <f>Y32</f>
        <v>3</v>
      </c>
      <c r="AC32" s="263">
        <f>IF(AB32&gt;AC31,AB32,AC31)</f>
        <v>3</v>
      </c>
      <c r="AD32" s="263">
        <f>IF(AC32&gt;AD31,AC32,AD31)</f>
        <v>3</v>
      </c>
      <c r="AE32" s="263">
        <f>IF(AD32&gt;AE31,AD32,AE31)</f>
        <v>3</v>
      </c>
      <c r="AF32" s="263">
        <f>IF(AE32&gt;AF31,AE32,AF31)</f>
        <v>3</v>
      </c>
      <c r="AG32" s="263">
        <f>IF(AF32&gt;AG31,AF32,AG31)</f>
        <v>3</v>
      </c>
      <c r="AH32" s="263"/>
      <c r="AL32" s="78">
        <f t="shared" si="59"/>
        <v>3</v>
      </c>
      <c r="AM32" s="78">
        <f t="shared" si="59"/>
        <v>3</v>
      </c>
    </row>
    <row r="33" spans="1:66" x14ac:dyDescent="0.25">
      <c r="A33" s="84" t="s">
        <v>164</v>
      </c>
      <c r="B33" s="84">
        <f>ROUND(D20+B24-D31,2)</f>
        <v>34425.040000000001</v>
      </c>
      <c r="C33" s="84">
        <v>2</v>
      </c>
      <c r="D33" s="84">
        <f>ROUND(D20+C33*B24-C33*D31,2)</f>
        <v>18850.080000000002</v>
      </c>
      <c r="E33" s="89" t="s">
        <v>261</v>
      </c>
      <c r="F33" s="89"/>
      <c r="G33" s="89"/>
      <c r="H33" s="89" t="s">
        <v>115</v>
      </c>
      <c r="I33" s="89">
        <v>2</v>
      </c>
      <c r="M33" s="78" t="s">
        <v>199</v>
      </c>
      <c r="T33" s="78">
        <f>T31</f>
        <v>2</v>
      </c>
      <c r="U33" s="78">
        <f>U32-T32</f>
        <v>0</v>
      </c>
      <c r="V33" s="78">
        <f>V32-U32</f>
        <v>0</v>
      </c>
      <c r="W33" s="78">
        <f>W32-V32</f>
        <v>0</v>
      </c>
      <c r="X33" s="78">
        <f>X32-W32</f>
        <v>0</v>
      </c>
      <c r="Y33" s="78">
        <f>Y32-X32</f>
        <v>1</v>
      </c>
      <c r="AB33" s="263">
        <f>AB32-Y32</f>
        <v>0</v>
      </c>
      <c r="AC33" s="263">
        <f>AC32-AB32</f>
        <v>0</v>
      </c>
      <c r="AD33" s="263">
        <f>AD32-AC32</f>
        <v>0</v>
      </c>
      <c r="AE33" s="263">
        <f>AE32-AD32</f>
        <v>0</v>
      </c>
      <c r="AF33" s="263">
        <f>AF32-AE32</f>
        <v>0</v>
      </c>
      <c r="AG33" s="263">
        <f>AG32-AF32</f>
        <v>0</v>
      </c>
      <c r="AH33" s="263"/>
      <c r="AL33" s="78">
        <f t="shared" si="59"/>
        <v>0</v>
      </c>
      <c r="AM33" s="78">
        <f t="shared" si="59"/>
        <v>0</v>
      </c>
    </row>
    <row r="34" spans="1:66" ht="15.75" x14ac:dyDescent="0.25">
      <c r="A34" s="84" t="s">
        <v>173</v>
      </c>
      <c r="B34" s="85">
        <f>B31*E28</f>
        <v>53624.88</v>
      </c>
      <c r="C34" s="84"/>
      <c r="D34" s="84"/>
      <c r="E34" s="89" t="s">
        <v>262</v>
      </c>
      <c r="F34" s="89"/>
      <c r="G34" s="89">
        <v>100000</v>
      </c>
      <c r="H34" s="89">
        <v>0</v>
      </c>
      <c r="I34" s="89">
        <f>IF($I$33=1,G34,IF($I$33=2,H34,0))</f>
        <v>0</v>
      </c>
      <c r="J34" s="440" t="str">
        <f>"Completion Mark: "&amp;'(HIDE) Data Validation'!I67&amp;" out of 5"</f>
        <v>Completion Mark: 0 out of 5</v>
      </c>
      <c r="K34" s="440"/>
      <c r="M34" s="78" t="s">
        <v>200</v>
      </c>
      <c r="T34" s="78">
        <f t="shared" ref="T34:Y34" si="61">T33*$B$45</f>
        <v>8000</v>
      </c>
      <c r="U34" s="78">
        <f t="shared" si="61"/>
        <v>0</v>
      </c>
      <c r="V34" s="78">
        <f t="shared" si="61"/>
        <v>0</v>
      </c>
      <c r="W34" s="78">
        <f t="shared" si="61"/>
        <v>0</v>
      </c>
      <c r="X34" s="78">
        <f t="shared" si="61"/>
        <v>0</v>
      </c>
      <c r="Y34" s="78">
        <f t="shared" si="61"/>
        <v>4000</v>
      </c>
      <c r="Z34" s="78">
        <f>SUM(T34:Y34)</f>
        <v>12000</v>
      </c>
      <c r="AA34" s="78" t="s">
        <v>554</v>
      </c>
      <c r="AB34" s="263">
        <f t="shared" ref="AB34:AG34" si="62">AB33*$B$45</f>
        <v>0</v>
      </c>
      <c r="AC34" s="263">
        <f t="shared" si="62"/>
        <v>0</v>
      </c>
      <c r="AD34" s="263">
        <f t="shared" si="62"/>
        <v>0</v>
      </c>
      <c r="AE34" s="263">
        <f t="shared" si="62"/>
        <v>0</v>
      </c>
      <c r="AF34" s="263">
        <f t="shared" si="62"/>
        <v>0</v>
      </c>
      <c r="AG34" s="263">
        <f t="shared" si="62"/>
        <v>0</v>
      </c>
      <c r="AH34" s="263"/>
      <c r="AL34" s="78">
        <f t="shared" si="59"/>
        <v>0</v>
      </c>
      <c r="AM34" s="78">
        <f t="shared" si="59"/>
        <v>0</v>
      </c>
      <c r="AR34" s="78">
        <f>0.5*I38</f>
        <v>0</v>
      </c>
      <c r="AS34" s="78" t="s">
        <v>407</v>
      </c>
      <c r="BD34" s="78" t="s">
        <v>407</v>
      </c>
      <c r="BF34" s="78">
        <f>I38</f>
        <v>0</v>
      </c>
    </row>
    <row r="35" spans="1:66" ht="15.75" x14ac:dyDescent="0.25">
      <c r="A35" s="87"/>
      <c r="B35" s="87"/>
      <c r="C35" s="87"/>
      <c r="D35" s="87"/>
      <c r="E35" s="89" t="s">
        <v>263</v>
      </c>
      <c r="F35" s="89"/>
      <c r="G35" s="89">
        <v>1000</v>
      </c>
      <c r="H35" s="89">
        <v>0</v>
      </c>
      <c r="I35" s="89">
        <f>IF($I$33=1,G35,IF($I$33=2,H35,0))</f>
        <v>0</v>
      </c>
      <c r="J35" s="440" t="str">
        <f>"Ratio Mark : "&amp;'(HIDE) Data Validation'!I68&amp;" out of 15"</f>
        <v>Ratio Mark : 0 out of 15</v>
      </c>
      <c r="K35" s="440"/>
      <c r="M35" s="78" t="s">
        <v>201</v>
      </c>
      <c r="T35" s="78">
        <f>ROUNDUP(T28/6000,0)</f>
        <v>3</v>
      </c>
      <c r="U35" s="78">
        <f t="shared" ref="U35:AM35" si="63">ROUNDUP(U28/6000,0)</f>
        <v>3</v>
      </c>
      <c r="V35" s="78">
        <f t="shared" si="63"/>
        <v>2</v>
      </c>
      <c r="W35" s="78">
        <f t="shared" si="63"/>
        <v>3</v>
      </c>
      <c r="X35" s="78">
        <f t="shared" si="63"/>
        <v>3</v>
      </c>
      <c r="Y35" s="78">
        <f t="shared" si="63"/>
        <v>4</v>
      </c>
      <c r="AB35" s="263">
        <f t="shared" si="63"/>
        <v>3</v>
      </c>
      <c r="AC35" s="263">
        <f t="shared" si="63"/>
        <v>3</v>
      </c>
      <c r="AD35" s="263">
        <f t="shared" si="63"/>
        <v>2</v>
      </c>
      <c r="AE35" s="263">
        <f t="shared" si="63"/>
        <v>3</v>
      </c>
      <c r="AF35" s="263">
        <f t="shared" si="63"/>
        <v>3</v>
      </c>
      <c r="AG35" s="263">
        <f t="shared" si="63"/>
        <v>3</v>
      </c>
      <c r="AH35" s="263"/>
      <c r="AL35" s="78">
        <f t="shared" si="63"/>
        <v>3</v>
      </c>
      <c r="AM35" s="78">
        <f t="shared" si="63"/>
        <v>3</v>
      </c>
      <c r="AN35" s="78">
        <f>ROUNDUP((AN27+AN29)/6000,0)</f>
        <v>0</v>
      </c>
      <c r="AO35" s="78">
        <f>ROUNDUP((AO27+AO29)/6000,0)</f>
        <v>0</v>
      </c>
      <c r="AP35" s="78">
        <f>ROUNDUP((AP27+AP29)/6000,0)</f>
        <v>0</v>
      </c>
      <c r="AQ35" s="78">
        <f>ROUNDUP((AQ27+AQ29)/6000,0)</f>
        <v>0</v>
      </c>
      <c r="AS35" s="78" t="s">
        <v>414</v>
      </c>
      <c r="AW35" s="78">
        <f>ROUNDUP(AW28/6000,0)</f>
        <v>3</v>
      </c>
      <c r="AX35" s="78">
        <f>ROUNDUP(AX28/6000,0)</f>
        <v>3</v>
      </c>
      <c r="AY35" s="78">
        <f>ROUNDUP((AY27+AY29)/6000,0)</f>
        <v>0</v>
      </c>
      <c r="AZ35" s="78">
        <f>ROUNDUP((AZ27+AZ29)/6000,0)</f>
        <v>0</v>
      </c>
      <c r="BA35" s="78">
        <f>ROUNDUP((BA27+BA29)/6000,0)</f>
        <v>0</v>
      </c>
      <c r="BB35" s="78">
        <f>ROUNDUP((BB27+BB29)/6000,0)</f>
        <v>0</v>
      </c>
      <c r="BD35" s="78" t="s">
        <v>482</v>
      </c>
      <c r="BG35" s="78">
        <f t="shared" ref="BG35:BL35" si="64">ROUNDUP((BG25+BG27+BG29)/6000,0)</f>
        <v>0</v>
      </c>
      <c r="BH35" s="78">
        <f t="shared" si="64"/>
        <v>0</v>
      </c>
      <c r="BI35" s="78">
        <f t="shared" si="64"/>
        <v>0</v>
      </c>
      <c r="BJ35" s="78">
        <f t="shared" si="64"/>
        <v>0</v>
      </c>
      <c r="BK35" s="78">
        <f t="shared" si="64"/>
        <v>0</v>
      </c>
      <c r="BL35" s="78">
        <f t="shared" si="64"/>
        <v>0</v>
      </c>
    </row>
    <row r="36" spans="1:66" ht="15.75" x14ac:dyDescent="0.25">
      <c r="A36" s="87" t="s">
        <v>178</v>
      </c>
      <c r="B36" s="87" t="s">
        <v>185</v>
      </c>
      <c r="C36" s="87" t="s">
        <v>186</v>
      </c>
      <c r="D36" s="87" t="s">
        <v>69</v>
      </c>
      <c r="E36" s="89" t="s">
        <v>265</v>
      </c>
      <c r="F36" s="89"/>
      <c r="G36" s="89">
        <v>0.97</v>
      </c>
      <c r="H36" s="89">
        <v>1</v>
      </c>
      <c r="I36" s="89">
        <f>IF($I$33=1,G36,IF($I$33=2,H36,0))</f>
        <v>1</v>
      </c>
      <c r="J36" s="440" t="str">
        <f>"Final Mark : "&amp;'(HIDE) Data Validation'!I69&amp;" out of 20"</f>
        <v>Final Mark : 0 out of 20</v>
      </c>
      <c r="K36" s="440"/>
      <c r="M36" s="78" t="s">
        <v>530</v>
      </c>
      <c r="N36" s="78">
        <f>N23+N34</f>
        <v>42000</v>
      </c>
      <c r="O36" s="78">
        <f t="shared" ref="O36:Y36" si="65">O23+O34</f>
        <v>0</v>
      </c>
      <c r="P36" s="78">
        <f t="shared" si="65"/>
        <v>0</v>
      </c>
      <c r="Q36" s="78">
        <f t="shared" si="65"/>
        <v>21000</v>
      </c>
      <c r="R36" s="78">
        <f t="shared" si="65"/>
        <v>21000</v>
      </c>
      <c r="S36" s="78">
        <f t="shared" si="65"/>
        <v>0</v>
      </c>
      <c r="T36" s="78">
        <f t="shared" si="65"/>
        <v>8000</v>
      </c>
      <c r="U36" s="78">
        <f t="shared" si="65"/>
        <v>0</v>
      </c>
      <c r="V36" s="78">
        <f t="shared" si="65"/>
        <v>0</v>
      </c>
      <c r="W36" s="78">
        <f t="shared" si="65"/>
        <v>21000</v>
      </c>
      <c r="X36" s="78">
        <f t="shared" si="65"/>
        <v>21000</v>
      </c>
      <c r="Y36" s="78">
        <f t="shared" si="65"/>
        <v>25000</v>
      </c>
      <c r="Z36" s="78">
        <f>SUM(N36:Y36)</f>
        <v>159000</v>
      </c>
      <c r="AB36" s="263">
        <f t="shared" ref="AB36:AG36" si="66">AB34+AB23</f>
        <v>0</v>
      </c>
      <c r="AC36" s="263">
        <f t="shared" si="66"/>
        <v>0</v>
      </c>
      <c r="AD36" s="263">
        <f t="shared" si="66"/>
        <v>0</v>
      </c>
      <c r="AE36" s="263">
        <f t="shared" si="66"/>
        <v>0</v>
      </c>
      <c r="AF36" s="263">
        <f t="shared" si="66"/>
        <v>0</v>
      </c>
      <c r="AG36" s="263">
        <f t="shared" si="66"/>
        <v>0</v>
      </c>
      <c r="AH36" s="263"/>
      <c r="AL36" s="78">
        <f>AL34+AL23</f>
        <v>0</v>
      </c>
      <c r="AM36" s="78">
        <f>AM34+AM23</f>
        <v>0</v>
      </c>
      <c r="AR36" s="78">
        <f>Z36+AL36+AM36</f>
        <v>159000</v>
      </c>
      <c r="AS36" s="78" t="s">
        <v>397</v>
      </c>
    </row>
    <row r="37" spans="1:66" x14ac:dyDescent="0.25">
      <c r="A37" s="87" t="s">
        <v>179</v>
      </c>
      <c r="B37" s="90">
        <v>1.4</v>
      </c>
      <c r="C37" s="90">
        <v>2</v>
      </c>
      <c r="D37" s="90">
        <v>1.2</v>
      </c>
      <c r="E37" s="89" t="s">
        <v>264</v>
      </c>
      <c r="F37" s="89"/>
      <c r="G37" s="89">
        <f>(1-G36)*100</f>
        <v>3.0000000000000027</v>
      </c>
      <c r="H37" s="89">
        <f>1-H36</f>
        <v>0</v>
      </c>
      <c r="I37" s="89">
        <f>IF($I$33=1,G37,IF($I$33=2,H37,0))</f>
        <v>0</v>
      </c>
      <c r="M37" s="78" t="s">
        <v>202</v>
      </c>
      <c r="T37" s="78">
        <f>T36/60*6</f>
        <v>800</v>
      </c>
      <c r="U37" s="78">
        <f>U36/60*5</f>
        <v>0</v>
      </c>
      <c r="V37" s="78">
        <f>V36/60*4</f>
        <v>0</v>
      </c>
      <c r="W37" s="78">
        <f>W36/60*3</f>
        <v>1050</v>
      </c>
      <c r="X37" s="78">
        <f>X36/60*2</f>
        <v>700</v>
      </c>
      <c r="Y37" s="78">
        <f>Y36/60*1</f>
        <v>416.66666666666669</v>
      </c>
      <c r="AB37" s="263">
        <f t="shared" ref="AB37:AG37" si="67">AB36/60*AB25</f>
        <v>0</v>
      </c>
      <c r="AC37" s="263">
        <f t="shared" si="67"/>
        <v>0</v>
      </c>
      <c r="AD37" s="263">
        <f t="shared" si="67"/>
        <v>0</v>
      </c>
      <c r="AE37" s="263">
        <f t="shared" si="67"/>
        <v>0</v>
      </c>
      <c r="AF37" s="263">
        <f t="shared" si="67"/>
        <v>0</v>
      </c>
      <c r="AG37" s="263">
        <f t="shared" si="67"/>
        <v>0</v>
      </c>
      <c r="AH37" s="263">
        <f>SUM(AB37:AG37)</f>
        <v>0</v>
      </c>
      <c r="AI37" s="78">
        <f>(Z36/60)/2</f>
        <v>1325</v>
      </c>
      <c r="AJ37" s="78" t="s">
        <v>322</v>
      </c>
      <c r="AL37" s="78">
        <f>AB37</f>
        <v>0</v>
      </c>
      <c r="AM37" s="78">
        <f>AC37</f>
        <v>0</v>
      </c>
      <c r="AQ37" s="78">
        <f>AL37+AM37</f>
        <v>0</v>
      </c>
      <c r="AR37" s="78">
        <f>AI37</f>
        <v>1325</v>
      </c>
      <c r="AS37" s="78" t="s">
        <v>322</v>
      </c>
      <c r="BD37" s="78" t="s">
        <v>483</v>
      </c>
      <c r="BF37" s="78">
        <f>(Z34/10)</f>
        <v>1200</v>
      </c>
    </row>
    <row r="38" spans="1:66" x14ac:dyDescent="0.25">
      <c r="A38" s="87" t="s">
        <v>192</v>
      </c>
      <c r="B38" s="87">
        <v>3.5</v>
      </c>
      <c r="C38" s="87">
        <v>1.2</v>
      </c>
      <c r="D38" s="87">
        <v>5</v>
      </c>
      <c r="E38" s="89" t="s">
        <v>267</v>
      </c>
      <c r="F38" s="89"/>
      <c r="G38" s="89">
        <f>G34/20</f>
        <v>5000</v>
      </c>
      <c r="H38" s="89">
        <v>0</v>
      </c>
      <c r="I38" s="89">
        <f>IF($I$33=1,G38,IF($I$33=2,H38,0))</f>
        <v>0</v>
      </c>
      <c r="M38" s="78" t="s">
        <v>203</v>
      </c>
      <c r="N38" s="78">
        <f>N26+N37</f>
        <v>2800</v>
      </c>
      <c r="O38" s="78">
        <f t="shared" ref="O38:X38" si="68">O26+O37</f>
        <v>0</v>
      </c>
      <c r="P38" s="78">
        <f t="shared" si="68"/>
        <v>0</v>
      </c>
      <c r="Q38" s="78">
        <f t="shared" si="68"/>
        <v>1050</v>
      </c>
      <c r="R38" s="78">
        <f t="shared" si="68"/>
        <v>933.33333333333326</v>
      </c>
      <c r="S38" s="78">
        <f t="shared" si="68"/>
        <v>0</v>
      </c>
      <c r="T38" s="78">
        <f t="shared" si="68"/>
        <v>800</v>
      </c>
      <c r="U38" s="78">
        <f t="shared" si="68"/>
        <v>0</v>
      </c>
      <c r="V38" s="78">
        <f t="shared" si="68"/>
        <v>0</v>
      </c>
      <c r="W38" s="78">
        <f t="shared" si="68"/>
        <v>1400</v>
      </c>
      <c r="X38" s="78">
        <f t="shared" si="68"/>
        <v>933.33333333333326</v>
      </c>
      <c r="Y38" s="78">
        <f>ROUND(Y26+Y37,2)</f>
        <v>533.34</v>
      </c>
      <c r="Z38" s="78">
        <f>SUM(N38:Y38)</f>
        <v>8450.0066666666662</v>
      </c>
      <c r="AA38" s="78" t="s">
        <v>539</v>
      </c>
      <c r="AB38" s="263"/>
      <c r="AC38" s="263"/>
      <c r="AD38" s="263"/>
      <c r="AE38" s="263"/>
      <c r="AF38" s="263"/>
      <c r="AG38" s="263"/>
      <c r="AH38" s="263"/>
      <c r="AI38" s="78">
        <f>AH26+AI26+AH37+AI37</f>
        <v>6225</v>
      </c>
      <c r="AJ38" s="78" t="s">
        <v>369</v>
      </c>
      <c r="AR38" s="78">
        <f>AQ26+AR26+AQ37+AR37</f>
        <v>6225</v>
      </c>
      <c r="AS38" s="78" t="s">
        <v>369</v>
      </c>
      <c r="BD38" s="78" t="s">
        <v>553</v>
      </c>
      <c r="BF38" s="78">
        <f>BF37+BF24</f>
        <v>11000</v>
      </c>
    </row>
    <row r="39" spans="1:66" x14ac:dyDescent="0.25">
      <c r="A39" s="87" t="s">
        <v>180</v>
      </c>
      <c r="B39" s="87">
        <v>4000</v>
      </c>
      <c r="C39" s="87">
        <v>0</v>
      </c>
      <c r="D39" s="87">
        <v>600</v>
      </c>
      <c r="E39" s="89"/>
      <c r="F39" s="89"/>
      <c r="G39" s="89"/>
      <c r="H39" s="89"/>
      <c r="I39" s="89"/>
      <c r="Z39" s="78">
        <f>Z38+Z51+I38</f>
        <v>10054.186666666666</v>
      </c>
      <c r="AA39" s="78" t="s">
        <v>540</v>
      </c>
      <c r="AB39" s="263"/>
      <c r="AC39" s="263"/>
      <c r="AD39" s="263"/>
      <c r="AE39" s="263"/>
      <c r="AF39" s="263"/>
      <c r="AG39" s="263"/>
      <c r="AH39" s="263"/>
      <c r="AR39" s="78">
        <f>Z38+AR38</f>
        <v>14675.006666666666</v>
      </c>
      <c r="AS39" s="78" t="s">
        <v>398</v>
      </c>
      <c r="BD39" s="78" t="s">
        <v>560</v>
      </c>
      <c r="BF39" s="78">
        <f>Z38+BF38</f>
        <v>19450.006666666668</v>
      </c>
      <c r="BM39" s="78" t="s">
        <v>488</v>
      </c>
    </row>
    <row r="40" spans="1:66" x14ac:dyDescent="0.25">
      <c r="A40" s="87" t="s">
        <v>181</v>
      </c>
      <c r="B40" s="87">
        <v>10000</v>
      </c>
      <c r="C40" s="87">
        <v>0</v>
      </c>
      <c r="D40" s="87">
        <v>4000</v>
      </c>
      <c r="E40" s="83" t="s">
        <v>260</v>
      </c>
      <c r="F40" s="83"/>
      <c r="G40" s="83" t="s">
        <v>272</v>
      </c>
      <c r="H40" s="83">
        <v>5000</v>
      </c>
      <c r="I40" s="83"/>
      <c r="J40" s="83">
        <v>1</v>
      </c>
      <c r="M40" s="78" t="s">
        <v>413</v>
      </c>
      <c r="T40" s="78">
        <f>T30+0.25*U30</f>
        <v>21236.6</v>
      </c>
      <c r="U40" s="78">
        <f>0.75*U30+0.25*V30</f>
        <v>16478</v>
      </c>
      <c r="V40" s="78">
        <f>0.75*V30+0.25*W30</f>
        <v>15988</v>
      </c>
      <c r="W40" s="78">
        <f>0.75*W30+0.25*X30</f>
        <v>19844.3</v>
      </c>
      <c r="X40" s="78">
        <f>0.75*X30+0.25*Y30</f>
        <v>23301.599999999999</v>
      </c>
      <c r="Y40" s="78">
        <f>0.75*Y30+0.25*Z30</f>
        <v>25699.449999999997</v>
      </c>
      <c r="Z40" s="78">
        <f>0.25*Z30</f>
        <v>4588.1499999999996</v>
      </c>
      <c r="AA40" s="78" t="s">
        <v>207</v>
      </c>
      <c r="AB40" s="263">
        <f t="shared" ref="AB40:AG40" si="69">0.75*AB30+0.25*AC30</f>
        <v>18668.649999999998</v>
      </c>
      <c r="AC40" s="263">
        <f t="shared" si="69"/>
        <v>18888.8</v>
      </c>
      <c r="AD40" s="263">
        <f t="shared" si="69"/>
        <v>17800.649999999998</v>
      </c>
      <c r="AE40" s="263">
        <f t="shared" si="69"/>
        <v>21401.1</v>
      </c>
      <c r="AF40" s="263">
        <f t="shared" si="69"/>
        <v>21043.75</v>
      </c>
      <c r="AG40" s="263">
        <f t="shared" si="69"/>
        <v>18265.8</v>
      </c>
      <c r="AH40" s="263"/>
      <c r="AL40" s="78">
        <f>0.75*AL30+0.25*AM30</f>
        <v>18668.649999999998</v>
      </c>
      <c r="AM40" s="78">
        <f>0.75*AM30+0.25*AN31</f>
        <v>14712.599999999999</v>
      </c>
      <c r="AN40" s="78">
        <f>0.75*AN31+0.25*AO31</f>
        <v>0</v>
      </c>
      <c r="AO40" s="78">
        <f>0.75*AO31+0.25*AP31</f>
        <v>0</v>
      </c>
      <c r="AP40" s="78">
        <f>0.75*AP31+0.25*AQ31</f>
        <v>0</v>
      </c>
      <c r="AQ40" s="78">
        <f>0.75*AQ31+0.25*BG31</f>
        <v>0</v>
      </c>
      <c r="AR40" s="164">
        <f>0.75*AQ31</f>
        <v>0</v>
      </c>
      <c r="AS40" s="164" t="s">
        <v>512</v>
      </c>
      <c r="AT40" s="164"/>
      <c r="AU40" s="164"/>
      <c r="BD40" s="78" t="s">
        <v>484</v>
      </c>
      <c r="BG40" s="78">
        <f t="shared" ref="BG40:BL40" si="70">ROUND(0.75*BG31+0.25*BH31,2)</f>
        <v>0</v>
      </c>
      <c r="BH40" s="78">
        <f t="shared" si="70"/>
        <v>0</v>
      </c>
      <c r="BI40" s="78">
        <f t="shared" si="70"/>
        <v>0</v>
      </c>
      <c r="BJ40" s="78">
        <f t="shared" si="70"/>
        <v>0</v>
      </c>
      <c r="BK40" s="78">
        <f t="shared" si="70"/>
        <v>0</v>
      </c>
      <c r="BL40" s="78">
        <f t="shared" si="70"/>
        <v>0</v>
      </c>
      <c r="BM40" s="78">
        <f>ROUND(0.25*BM31,2)</f>
        <v>0</v>
      </c>
      <c r="BN40" s="78" t="s">
        <v>371</v>
      </c>
    </row>
    <row r="41" spans="1:66" x14ac:dyDescent="0.25">
      <c r="A41" s="87" t="s">
        <v>184</v>
      </c>
      <c r="B41" s="87">
        <v>1</v>
      </c>
      <c r="C41" s="87" t="s">
        <v>739</v>
      </c>
      <c r="D41" s="87">
        <f>Diversification!$B$27</f>
        <v>0</v>
      </c>
      <c r="E41" s="83"/>
      <c r="F41" s="83"/>
      <c r="G41" s="83" t="s">
        <v>269</v>
      </c>
      <c r="H41" s="83" t="s">
        <v>270</v>
      </c>
      <c r="I41" s="83" t="s">
        <v>271</v>
      </c>
      <c r="J41" s="83" t="s">
        <v>115</v>
      </c>
      <c r="L41" s="77" t="s">
        <v>597</v>
      </c>
      <c r="M41" s="77"/>
      <c r="N41" s="77"/>
      <c r="O41" s="77"/>
      <c r="P41" s="77"/>
      <c r="Q41" s="77"/>
      <c r="R41" s="77"/>
      <c r="S41" s="77"/>
      <c r="T41" s="77"/>
      <c r="U41" s="77"/>
      <c r="V41" s="77"/>
      <c r="W41" s="77"/>
      <c r="X41" s="77"/>
      <c r="Y41" s="77"/>
      <c r="Z41" s="78">
        <f>SUM(T30:Y30)</f>
        <v>117959.79999999999</v>
      </c>
      <c r="AA41" s="78" t="s">
        <v>211</v>
      </c>
      <c r="AB41" s="263"/>
      <c r="AC41" s="263"/>
      <c r="AD41" s="263"/>
      <c r="AE41" s="263"/>
      <c r="AF41" s="263"/>
      <c r="AG41" s="263"/>
      <c r="AH41" s="263"/>
      <c r="AR41" s="78">
        <f>SUM(AL40:AQ40)</f>
        <v>33381.25</v>
      </c>
      <c r="BM41" s="78">
        <f>ROUND(SUM(BG40:BL40),2)</f>
        <v>0</v>
      </c>
      <c r="BN41" s="78" t="s">
        <v>485</v>
      </c>
    </row>
    <row r="42" spans="1:66" x14ac:dyDescent="0.25">
      <c r="A42" s="87" t="s">
        <v>187</v>
      </c>
      <c r="B42" s="87" t="str">
        <f>IF($B$41=1,B36,IF($B$41=2,C36,IF($B$41=3,D36,"Item")))</f>
        <v>Hot Chips</v>
      </c>
      <c r="C42" s="87" t="s">
        <v>740</v>
      </c>
      <c r="D42" s="87">
        <f>IF(Diversification!$B$27="",C43,IF(D41&lt;3,30,IF(D41&gt;8,80,ROUND(D41*10,2))))</f>
        <v>40</v>
      </c>
      <c r="E42" s="83" t="s">
        <v>273</v>
      </c>
      <c r="F42" s="83"/>
      <c r="G42" s="83">
        <v>2500</v>
      </c>
      <c r="H42" s="83">
        <v>8500</v>
      </c>
      <c r="I42" s="83">
        <v>18000</v>
      </c>
      <c r="J42" s="83">
        <f>IF($J$40=1,G42,IF($J$40=2,H42,IF($J$40=3,I42,0)))</f>
        <v>2500</v>
      </c>
      <c r="L42" s="77"/>
      <c r="M42" s="77" t="s">
        <v>225</v>
      </c>
      <c r="N42" s="77">
        <f>ROUND(N15*0.7,2)</f>
        <v>42686</v>
      </c>
      <c r="O42" s="77">
        <f t="shared" ref="O42:Y42" si="71">ROUND(O15*0.7,2)</f>
        <v>75243</v>
      </c>
      <c r="P42" s="77">
        <f t="shared" si="71"/>
        <v>83944</v>
      </c>
      <c r="Q42" s="77">
        <f t="shared" si="71"/>
        <v>125776</v>
      </c>
      <c r="R42" s="77">
        <f t="shared" si="71"/>
        <v>149793</v>
      </c>
      <c r="S42" s="77">
        <f t="shared" si="71"/>
        <v>125069</v>
      </c>
      <c r="T42" s="77">
        <f t="shared" si="71"/>
        <v>167412</v>
      </c>
      <c r="U42" s="77">
        <f t="shared" si="71"/>
        <v>167566</v>
      </c>
      <c r="V42" s="77">
        <f t="shared" si="71"/>
        <v>146923</v>
      </c>
      <c r="W42" s="77">
        <f t="shared" si="71"/>
        <v>189539</v>
      </c>
      <c r="X42" s="77">
        <f t="shared" si="71"/>
        <v>213738</v>
      </c>
      <c r="Y42" s="77">
        <f t="shared" si="71"/>
        <v>277438</v>
      </c>
      <c r="AB42" s="263">
        <f t="shared" ref="AB42:AG42" si="72">AB15*0.7</f>
        <v>180887</v>
      </c>
      <c r="AC42" s="263">
        <f t="shared" si="72"/>
        <v>193340</v>
      </c>
      <c r="AD42" s="263">
        <f t="shared" si="72"/>
        <v>164640</v>
      </c>
      <c r="AE42" s="263">
        <f t="shared" si="72"/>
        <v>207851</v>
      </c>
      <c r="AF42" s="263">
        <f t="shared" si="72"/>
        <v>220185</v>
      </c>
      <c r="AG42" s="263">
        <f t="shared" si="72"/>
        <v>169092</v>
      </c>
      <c r="AH42" s="263"/>
      <c r="AL42" s="77">
        <f>ROUND(AL15*0.7,2)</f>
        <v>180887</v>
      </c>
      <c r="AM42" s="77">
        <f>ROUND(AM15*0.7,2)</f>
        <v>193340</v>
      </c>
      <c r="AN42" s="77">
        <f>(AN15+AN17)*0.7</f>
        <v>0</v>
      </c>
      <c r="AO42" s="77">
        <f>(AO15+AO17)*0.7</f>
        <v>0</v>
      </c>
      <c r="AP42" s="77">
        <f>(AP15+AP17)*0.7</f>
        <v>0</v>
      </c>
      <c r="AQ42" s="77">
        <f>(AQ15+AQ17)*0.7</f>
        <v>0</v>
      </c>
      <c r="AR42" s="77"/>
      <c r="AS42" s="77"/>
      <c r="AT42" s="77"/>
      <c r="AU42" s="77"/>
      <c r="BD42" s="77" t="s">
        <v>225</v>
      </c>
      <c r="BE42" s="77"/>
      <c r="BF42" s="77"/>
      <c r="BG42" s="287">
        <f t="shared" ref="BG42:BL42" si="73">ROUND((BG11+BG13+BG15)*0.7,2)</f>
        <v>0</v>
      </c>
      <c r="BH42" s="287">
        <f t="shared" si="73"/>
        <v>0</v>
      </c>
      <c r="BI42" s="287">
        <f t="shared" si="73"/>
        <v>0</v>
      </c>
      <c r="BJ42" s="287">
        <f t="shared" si="73"/>
        <v>0</v>
      </c>
      <c r="BK42" s="287">
        <f t="shared" si="73"/>
        <v>0</v>
      </c>
      <c r="BL42" s="287">
        <f t="shared" si="73"/>
        <v>0</v>
      </c>
      <c r="BM42" s="287"/>
    </row>
    <row r="43" spans="1:66" x14ac:dyDescent="0.25">
      <c r="A43" s="87" t="s">
        <v>140</v>
      </c>
      <c r="B43" s="87">
        <f>IF($B$41=1,B37,IF($B$41=2,C37,IF($B$41=3,D37,0)))</f>
        <v>1.4</v>
      </c>
      <c r="C43" s="87">
        <v>40</v>
      </c>
      <c r="D43" s="87">
        <f>D42/10</f>
        <v>4</v>
      </c>
      <c r="E43" s="83" t="s">
        <v>274</v>
      </c>
      <c r="F43" s="83"/>
      <c r="G43" s="83">
        <v>0</v>
      </c>
      <c r="H43" s="83">
        <v>500</v>
      </c>
      <c r="I43" s="83">
        <v>1000</v>
      </c>
      <c r="J43" s="83">
        <f>IF($J$40=1,G43,IF($J$40=2,H43,IF($J$40=3,I43,0)))</f>
        <v>0</v>
      </c>
      <c r="L43" s="225"/>
      <c r="M43" s="225" t="s">
        <v>226</v>
      </c>
      <c r="N43" s="225"/>
      <c r="O43" s="225">
        <f t="shared" ref="O43:Z43" si="74">N15*0.3</f>
        <v>18294</v>
      </c>
      <c r="P43" s="225">
        <f t="shared" si="74"/>
        <v>32247</v>
      </c>
      <c r="Q43" s="225">
        <f t="shared" si="74"/>
        <v>35976</v>
      </c>
      <c r="R43" s="225">
        <f t="shared" si="74"/>
        <v>53904</v>
      </c>
      <c r="S43" s="225">
        <f t="shared" si="74"/>
        <v>64197</v>
      </c>
      <c r="T43" s="225">
        <f t="shared" si="74"/>
        <v>53601</v>
      </c>
      <c r="U43" s="225">
        <f t="shared" si="74"/>
        <v>71748</v>
      </c>
      <c r="V43" s="225">
        <f t="shared" si="74"/>
        <v>71814</v>
      </c>
      <c r="W43" s="225">
        <f t="shared" si="74"/>
        <v>62967</v>
      </c>
      <c r="X43" s="225">
        <f t="shared" si="74"/>
        <v>81231</v>
      </c>
      <c r="Y43" s="225">
        <f t="shared" si="74"/>
        <v>91602</v>
      </c>
      <c r="Z43" s="225">
        <f t="shared" si="74"/>
        <v>118902</v>
      </c>
      <c r="AA43" s="225"/>
      <c r="AB43" s="263">
        <f>Y15*0.3</f>
        <v>118902</v>
      </c>
      <c r="AC43" s="263">
        <f t="shared" ref="AC43:AH43" si="75">AB15*0.3</f>
        <v>77523</v>
      </c>
      <c r="AD43" s="263">
        <f t="shared" si="75"/>
        <v>82860</v>
      </c>
      <c r="AE43" s="263">
        <f t="shared" si="75"/>
        <v>70560</v>
      </c>
      <c r="AF43" s="263">
        <f t="shared" si="75"/>
        <v>89079</v>
      </c>
      <c r="AG43" s="263">
        <f t="shared" si="75"/>
        <v>94365</v>
      </c>
      <c r="AH43" s="263">
        <f t="shared" si="75"/>
        <v>72468</v>
      </c>
      <c r="AI43" s="78" t="s">
        <v>323</v>
      </c>
      <c r="AL43" s="77">
        <f>ROUND(Y15*0.3,2)</f>
        <v>118902</v>
      </c>
      <c r="AM43" s="77">
        <f>ROUND(Z15*0.3,2)</f>
        <v>77523</v>
      </c>
      <c r="AN43" s="77">
        <f>IF(AR7=0,0,AM15*0.3)</f>
        <v>0</v>
      </c>
      <c r="AO43" s="77">
        <f>(AN15+AN17)*0.3</f>
        <v>0</v>
      </c>
      <c r="AP43" s="77">
        <f>(AO15+AO17)*0.3</f>
        <v>0</v>
      </c>
      <c r="AQ43" s="77">
        <f>(AP15+AP17)*0.3</f>
        <v>0</v>
      </c>
      <c r="AR43" s="77">
        <f>IF(AR7=0,AM15*0.3,(AQ15+AQ17)*0.3)</f>
        <v>82860</v>
      </c>
      <c r="AS43" s="77"/>
      <c r="AT43" s="77"/>
      <c r="AU43" s="77"/>
      <c r="BD43" s="77" t="s">
        <v>226</v>
      </c>
      <c r="BE43" s="77"/>
      <c r="BF43" s="77"/>
      <c r="BG43" s="287"/>
      <c r="BH43" s="287">
        <f t="shared" ref="BH43:BM43" si="76">ROUND((BG11+BG13+BG15)*0.3,2)</f>
        <v>0</v>
      </c>
      <c r="BI43" s="287">
        <f t="shared" si="76"/>
        <v>0</v>
      </c>
      <c r="BJ43" s="287">
        <f t="shared" si="76"/>
        <v>0</v>
      </c>
      <c r="BK43" s="287">
        <f t="shared" si="76"/>
        <v>0</v>
      </c>
      <c r="BL43" s="287">
        <f t="shared" si="76"/>
        <v>0</v>
      </c>
      <c r="BM43" s="287">
        <f t="shared" si="76"/>
        <v>0</v>
      </c>
      <c r="BN43" s="77"/>
    </row>
    <row r="44" spans="1:66" x14ac:dyDescent="0.25">
      <c r="A44" s="87" t="s">
        <v>188</v>
      </c>
      <c r="B44" s="87">
        <f>IF($B$41=1,B38,IF($B$41=2,C38,IF($B$41=3,D38,0)))</f>
        <v>3.5</v>
      </c>
      <c r="C44" s="87" t="s">
        <v>191</v>
      </c>
      <c r="D44" s="87">
        <f>((B43)^2.5/((D43)^1.5))*0.5</f>
        <v>0.14494395468594062</v>
      </c>
      <c r="E44" s="83" t="s">
        <v>276</v>
      </c>
      <c r="F44" s="83"/>
      <c r="G44" s="83">
        <v>1</v>
      </c>
      <c r="H44" s="83">
        <v>1.03</v>
      </c>
      <c r="I44" s="83">
        <v>1.05</v>
      </c>
      <c r="J44" s="83">
        <f>IF($J$40=1,G44,IF($J$40=2,H44,IF($J$40=3,I44,0)))</f>
        <v>1</v>
      </c>
      <c r="L44" s="77"/>
      <c r="M44" s="77" t="s">
        <v>227</v>
      </c>
      <c r="N44" s="77"/>
      <c r="O44" s="77"/>
      <c r="P44" s="77"/>
      <c r="Q44" s="77"/>
      <c r="R44" s="77"/>
      <c r="S44" s="77"/>
      <c r="T44" s="77">
        <f t="shared" ref="T44:Y44" si="77">ROUND(T29*0.7,2)</f>
        <v>33972.400000000001</v>
      </c>
      <c r="U44" s="77">
        <f t="shared" si="77"/>
        <v>34003.199999999997</v>
      </c>
      <c r="V44" s="77">
        <f t="shared" si="77"/>
        <v>29814.400000000001</v>
      </c>
      <c r="W44" s="77">
        <f t="shared" si="77"/>
        <v>38460.800000000003</v>
      </c>
      <c r="X44" s="77">
        <f t="shared" si="77"/>
        <v>43372</v>
      </c>
      <c r="Y44" s="77">
        <f t="shared" si="77"/>
        <v>56296.800000000003</v>
      </c>
      <c r="Z44" s="77"/>
      <c r="AA44" s="77"/>
      <c r="AB44" s="263">
        <f t="shared" ref="AB44:AG44" si="78">AB29*0.7</f>
        <v>36705.199999999997</v>
      </c>
      <c r="AC44" s="263">
        <f t="shared" si="78"/>
        <v>39233.599999999999</v>
      </c>
      <c r="AD44" s="263">
        <f t="shared" si="78"/>
        <v>33409.599999999999</v>
      </c>
      <c r="AE44" s="263">
        <f t="shared" si="78"/>
        <v>42176.399999999994</v>
      </c>
      <c r="AF44" s="263">
        <f t="shared" si="78"/>
        <v>44679.6</v>
      </c>
      <c r="AG44" s="263">
        <f t="shared" si="78"/>
        <v>34311.199999999997</v>
      </c>
      <c r="AH44" s="263"/>
      <c r="AL44" s="77">
        <f>ROUND(AL29*0.7,2)</f>
        <v>36705.199999999997</v>
      </c>
      <c r="AM44" s="77">
        <f>ROUND(AM29*0.7,2)</f>
        <v>39233.599999999999</v>
      </c>
      <c r="AN44" s="77">
        <f>(AN28+AN30)*0.7</f>
        <v>0</v>
      </c>
      <c r="AO44" s="77">
        <f>(AO28+AO30)*0.7</f>
        <v>0</v>
      </c>
      <c r="AP44" s="77">
        <f>(AP28+AP30)*0.7</f>
        <v>0</v>
      </c>
      <c r="AQ44" s="77">
        <f>(AQ28+AQ30)*0.7</f>
        <v>0</v>
      </c>
      <c r="AR44" s="77"/>
      <c r="AS44" s="77"/>
      <c r="AT44" s="77"/>
      <c r="AU44" s="77"/>
      <c r="BD44" s="77" t="s">
        <v>227</v>
      </c>
      <c r="BE44" s="77"/>
      <c r="BF44" s="77"/>
      <c r="BG44" s="287">
        <f t="shared" ref="BG44:BL44" si="79">ROUND((BG26+BG28+BG30)*0.7,2)</f>
        <v>0</v>
      </c>
      <c r="BH44" s="287">
        <f t="shared" si="79"/>
        <v>0</v>
      </c>
      <c r="BI44" s="287">
        <f t="shared" si="79"/>
        <v>0</v>
      </c>
      <c r="BJ44" s="287">
        <f t="shared" si="79"/>
        <v>0</v>
      </c>
      <c r="BK44" s="287">
        <f t="shared" si="79"/>
        <v>0</v>
      </c>
      <c r="BL44" s="287">
        <f t="shared" si="79"/>
        <v>0</v>
      </c>
      <c r="BM44" s="287"/>
    </row>
    <row r="45" spans="1:66" x14ac:dyDescent="0.25">
      <c r="A45" s="87" t="s">
        <v>189</v>
      </c>
      <c r="B45" s="87">
        <f>IF($B$41=1,B39,IF($B$41=2,C39,IF($B$41=3,D39,0)))</f>
        <v>4000</v>
      </c>
      <c r="C45" s="87" t="s">
        <v>193</v>
      </c>
      <c r="D45" s="87">
        <f>D44*B44</f>
        <v>0.50730384140079221</v>
      </c>
      <c r="E45" s="83" t="s">
        <v>277</v>
      </c>
      <c r="F45" s="83"/>
      <c r="G45" s="83">
        <f>(G44-1)*100</f>
        <v>0</v>
      </c>
      <c r="H45" s="83">
        <f>(H44-1)*100</f>
        <v>3.0000000000000027</v>
      </c>
      <c r="I45" s="83">
        <f>(I44-1)*100</f>
        <v>5.0000000000000044</v>
      </c>
      <c r="J45" s="83">
        <f>IF($J$40=1,G45,IF($J$40=2,H45,IF($J$40=3,I45,0)))</f>
        <v>0</v>
      </c>
      <c r="L45" s="225"/>
      <c r="M45" s="225" t="s">
        <v>228</v>
      </c>
      <c r="N45" s="225"/>
      <c r="O45" s="225"/>
      <c r="P45" s="225"/>
      <c r="Q45" s="225"/>
      <c r="R45" s="225"/>
      <c r="S45" s="225"/>
      <c r="T45" s="225"/>
      <c r="U45" s="225">
        <f t="shared" ref="U45:Z45" si="80">T29*0.3</f>
        <v>14559.6</v>
      </c>
      <c r="V45" s="225">
        <f t="shared" si="80"/>
        <v>14572.8</v>
      </c>
      <c r="W45" s="225">
        <f t="shared" si="80"/>
        <v>12777.6</v>
      </c>
      <c r="X45" s="225">
        <f t="shared" si="80"/>
        <v>16483.2</v>
      </c>
      <c r="Y45" s="225">
        <f t="shared" si="80"/>
        <v>18588</v>
      </c>
      <c r="Z45" s="225">
        <f t="shared" si="80"/>
        <v>24127.200000000001</v>
      </c>
      <c r="AA45" s="225"/>
      <c r="AB45" s="263">
        <f>Y29*0.3</f>
        <v>24127.200000000001</v>
      </c>
      <c r="AC45" s="263">
        <f t="shared" ref="AC45:AH45" si="81">AB29*0.3</f>
        <v>15730.8</v>
      </c>
      <c r="AD45" s="263">
        <f t="shared" si="81"/>
        <v>16814.399999999998</v>
      </c>
      <c r="AE45" s="263">
        <f t="shared" si="81"/>
        <v>14318.4</v>
      </c>
      <c r="AF45" s="263">
        <f t="shared" si="81"/>
        <v>18075.599999999999</v>
      </c>
      <c r="AG45" s="263">
        <f t="shared" si="81"/>
        <v>19148.399999999998</v>
      </c>
      <c r="AH45" s="263">
        <f t="shared" si="81"/>
        <v>14704.8</v>
      </c>
      <c r="AI45" s="78" t="s">
        <v>323</v>
      </c>
      <c r="AL45" s="77">
        <f>ROUND(Y29*0.3,2)</f>
        <v>24127.200000000001</v>
      </c>
      <c r="AM45" s="77">
        <f>ROUND(Z29*0.3,2)</f>
        <v>15730.8</v>
      </c>
      <c r="AN45" s="77">
        <f>IF(AR7=0,0,AM29*0.3)</f>
        <v>0</v>
      </c>
      <c r="AO45" s="77">
        <f>(AN28+AN30)*0.3</f>
        <v>0</v>
      </c>
      <c r="AP45" s="77">
        <f>(AO28+AO30)*0.3</f>
        <v>0</v>
      </c>
      <c r="AQ45" s="77">
        <f>(AP28+AP30)*0.3</f>
        <v>0</v>
      </c>
      <c r="AR45" s="77">
        <f>IF(AR7=0,AM29*0.3,(AQ28+AQ30)*0.3)</f>
        <v>16814.399999999998</v>
      </c>
      <c r="AS45" s="77"/>
      <c r="AT45" s="77"/>
      <c r="AU45" s="77" t="s">
        <v>13</v>
      </c>
      <c r="BD45" s="77" t="s">
        <v>228</v>
      </c>
      <c r="BE45" s="77"/>
      <c r="BF45" s="77"/>
      <c r="BG45" s="287"/>
      <c r="BH45" s="287">
        <f t="shared" ref="BH45:BM45" si="82">ROUND((BG26+BG28+BG30)*0.3,2)</f>
        <v>0</v>
      </c>
      <c r="BI45" s="287">
        <f t="shared" si="82"/>
        <v>0</v>
      </c>
      <c r="BJ45" s="287">
        <f t="shared" si="82"/>
        <v>0</v>
      </c>
      <c r="BK45" s="287">
        <f t="shared" si="82"/>
        <v>0</v>
      </c>
      <c r="BL45" s="287">
        <f t="shared" si="82"/>
        <v>0</v>
      </c>
      <c r="BM45" s="287">
        <f t="shared" si="82"/>
        <v>0</v>
      </c>
      <c r="BN45" s="77"/>
    </row>
    <row r="46" spans="1:66" x14ac:dyDescent="0.25">
      <c r="A46" s="87" t="s">
        <v>190</v>
      </c>
      <c r="B46" s="87">
        <f>IF($B$41=1,B40,IF($B$41=2,C40,IF($B$41=3,D40,0)))</f>
        <v>10000</v>
      </c>
      <c r="C46" s="87"/>
      <c r="D46" s="87">
        <f>ROUND(D45*100,2)</f>
        <v>50.73</v>
      </c>
      <c r="E46" s="83" t="s">
        <v>267</v>
      </c>
      <c r="F46" s="83"/>
      <c r="G46" s="83">
        <f>G42/10</f>
        <v>250</v>
      </c>
      <c r="H46" s="83">
        <f>H42/10</f>
        <v>850</v>
      </c>
      <c r="I46" s="83">
        <f>I42/10</f>
        <v>1800</v>
      </c>
      <c r="J46" s="83">
        <f>IF($J$40=1,G46,IF($J$40=2,H46,IF($J$40=3,I46,0)))</f>
        <v>250</v>
      </c>
      <c r="AB46" s="263"/>
      <c r="AC46" s="263"/>
      <c r="AD46" s="263"/>
      <c r="AE46" s="263"/>
      <c r="AF46" s="263"/>
      <c r="AG46" s="263"/>
      <c r="AH46" s="263"/>
    </row>
    <row r="47" spans="1:66" ht="15" customHeight="1" x14ac:dyDescent="0.25">
      <c r="E47" s="88" t="s">
        <v>283</v>
      </c>
      <c r="F47" s="88"/>
      <c r="G47" s="88"/>
      <c r="H47" s="88"/>
      <c r="I47" s="88"/>
      <c r="J47" s="88" t="str">
        <f>IF($K$47=1,"to not deliver",IF($K$47=2,"to operate an in-house delivery service with company cars",IF($K$47=3,"to operate an in-house delivery service using employee cars, but reimburse them",IF($K$47=4,"to offer deliveries via an external delivery service"))))</f>
        <v>to not deliver</v>
      </c>
      <c r="K47" s="88">
        <v>1</v>
      </c>
      <c r="M47" s="78" t="s">
        <v>278</v>
      </c>
      <c r="N47" s="78">
        <f t="shared" ref="N47:S47" si="83">ROUNDUP(N14/$H$40,0)</f>
        <v>2</v>
      </c>
      <c r="O47" s="78">
        <f t="shared" si="83"/>
        <v>3</v>
      </c>
      <c r="P47" s="78">
        <f t="shared" si="83"/>
        <v>3</v>
      </c>
      <c r="Q47" s="78">
        <f t="shared" si="83"/>
        <v>4</v>
      </c>
      <c r="R47" s="78">
        <f t="shared" si="83"/>
        <v>5</v>
      </c>
      <c r="S47" s="78">
        <f t="shared" si="83"/>
        <v>4</v>
      </c>
      <c r="T47" s="78">
        <f t="shared" ref="T47:Y47" si="84">ROUNDUP((T14+T28)/$H$40,0)</f>
        <v>8</v>
      </c>
      <c r="U47" s="78">
        <f t="shared" si="84"/>
        <v>8</v>
      </c>
      <c r="V47" s="78">
        <f t="shared" si="84"/>
        <v>7</v>
      </c>
      <c r="W47" s="78">
        <f t="shared" si="84"/>
        <v>9</v>
      </c>
      <c r="X47" s="78">
        <f t="shared" si="84"/>
        <v>10</v>
      </c>
      <c r="Y47" s="78">
        <f t="shared" si="84"/>
        <v>12</v>
      </c>
      <c r="AB47" s="263">
        <f t="shared" ref="AB47:AG47" si="85">ROUNDUP((AB14+AB28)/$H$40,0)</f>
        <v>8</v>
      </c>
      <c r="AC47" s="263">
        <f t="shared" si="85"/>
        <v>9</v>
      </c>
      <c r="AD47" s="263">
        <f t="shared" si="85"/>
        <v>8</v>
      </c>
      <c r="AE47" s="263">
        <f t="shared" si="85"/>
        <v>9</v>
      </c>
      <c r="AF47" s="263">
        <f t="shared" si="85"/>
        <v>10</v>
      </c>
      <c r="AG47" s="263">
        <f t="shared" si="85"/>
        <v>8</v>
      </c>
      <c r="AH47" s="263"/>
      <c r="AL47" s="78">
        <f>ROUNDUP((AL14+AL28)/$H$40,0)</f>
        <v>8</v>
      </c>
      <c r="AM47" s="78">
        <f>ROUNDUP((AM14+AM28)/$H$40,0)</f>
        <v>9</v>
      </c>
      <c r="AN47" s="78">
        <f>ROUNDUP((AN14+AN16+AN27+AN29)/$H$40,0)</f>
        <v>0</v>
      </c>
      <c r="AO47" s="78">
        <f>ROUNDUP((AO14+AO16+AO27+AO29)/$H$40,0)</f>
        <v>0</v>
      </c>
      <c r="AP47" s="78">
        <f>ROUNDUP((AP14+AP16+AP27+AP29)/$H$40,0)</f>
        <v>0</v>
      </c>
      <c r="AQ47" s="78">
        <f>ROUNDUP((AQ14+AQ16+AQ27+AQ29)/$H$40,0)</f>
        <v>0</v>
      </c>
      <c r="AW47" s="78" t="s">
        <v>278</v>
      </c>
      <c r="BG47" s="78">
        <f t="shared" ref="BG47:BL47" si="86">ROUNDUP((BG10+BG12+BG14+BG25+BG27+BG29)/$H$40,0)</f>
        <v>0</v>
      </c>
      <c r="BH47" s="78">
        <f t="shared" si="86"/>
        <v>0</v>
      </c>
      <c r="BI47" s="78">
        <f t="shared" si="86"/>
        <v>0</v>
      </c>
      <c r="BJ47" s="78">
        <f t="shared" si="86"/>
        <v>0</v>
      </c>
      <c r="BK47" s="78">
        <f t="shared" si="86"/>
        <v>0</v>
      </c>
      <c r="BL47" s="78">
        <f t="shared" si="86"/>
        <v>0</v>
      </c>
    </row>
    <row r="48" spans="1:66" x14ac:dyDescent="0.25">
      <c r="A48" s="78" t="s">
        <v>442</v>
      </c>
      <c r="E48" s="88"/>
      <c r="F48" s="88"/>
      <c r="G48" s="88" t="s">
        <v>284</v>
      </c>
      <c r="H48" s="88" t="s">
        <v>285</v>
      </c>
      <c r="I48" s="88" t="s">
        <v>286</v>
      </c>
      <c r="J48" s="88" t="s">
        <v>287</v>
      </c>
      <c r="K48" s="88" t="s">
        <v>115</v>
      </c>
      <c r="M48" s="78" t="s">
        <v>279</v>
      </c>
      <c r="N48" s="78">
        <f>N47</f>
        <v>2</v>
      </c>
      <c r="O48" s="78">
        <f>IF(N48&gt;O47,N48,O47)</f>
        <v>3</v>
      </c>
      <c r="P48" s="78">
        <f t="shared" ref="P48:Y48" si="87">IF(O48&gt;P47,O48,P47)</f>
        <v>3</v>
      </c>
      <c r="Q48" s="78">
        <f t="shared" si="87"/>
        <v>4</v>
      </c>
      <c r="R48" s="78">
        <f t="shared" si="87"/>
        <v>5</v>
      </c>
      <c r="S48" s="78">
        <f t="shared" si="87"/>
        <v>5</v>
      </c>
      <c r="T48" s="78">
        <f t="shared" si="87"/>
        <v>8</v>
      </c>
      <c r="U48" s="78">
        <f t="shared" si="87"/>
        <v>8</v>
      </c>
      <c r="V48" s="78">
        <f t="shared" si="87"/>
        <v>8</v>
      </c>
      <c r="W48" s="78">
        <f t="shared" si="87"/>
        <v>9</v>
      </c>
      <c r="X48" s="78">
        <f t="shared" si="87"/>
        <v>10</v>
      </c>
      <c r="Y48" s="78">
        <f t="shared" si="87"/>
        <v>12</v>
      </c>
      <c r="AB48" s="263">
        <f>IF(Y48&gt;AB47,Y48,AB47)</f>
        <v>12</v>
      </c>
      <c r="AC48" s="263">
        <f>IF(AB48&gt;AC47,AB48,AC47)</f>
        <v>12</v>
      </c>
      <c r="AD48" s="263">
        <f>IF(AC48&gt;AD47,AC48,AD47)</f>
        <v>12</v>
      </c>
      <c r="AE48" s="263">
        <f>IF(AD48&gt;AE47,AD48,AE47)</f>
        <v>12</v>
      </c>
      <c r="AF48" s="263">
        <f>IF(AE48&gt;AF47,AE48,AF47)</f>
        <v>12</v>
      </c>
      <c r="AG48" s="263">
        <f>IF(AF48&gt;AG47,AF48,AG47)</f>
        <v>12</v>
      </c>
      <c r="AH48" s="263"/>
      <c r="AL48" s="78">
        <f>IF(Y48&gt;AL47,Y48,AL47)</f>
        <v>12</v>
      </c>
      <c r="AM48" s="78">
        <f>IF(AL48&gt;AM47,AL48,AM47)</f>
        <v>12</v>
      </c>
      <c r="AN48" s="78">
        <f>IF(AM48&gt;AN47,AM48,AN47)</f>
        <v>12</v>
      </c>
      <c r="AO48" s="78">
        <f>IF(AN48&gt;AO47,AN48,AO47)</f>
        <v>12</v>
      </c>
      <c r="AP48" s="78">
        <f>IF(AO48&gt;AP47,AO48,AP47)</f>
        <v>12</v>
      </c>
      <c r="AQ48" s="78">
        <f>IF(AP48&gt;AQ47,AP48,AQ47)</f>
        <v>12</v>
      </c>
      <c r="AW48" s="78" t="s">
        <v>279</v>
      </c>
      <c r="BG48" s="78">
        <f>IF(AQ48&gt;BG47,AQ48,BG47)</f>
        <v>12</v>
      </c>
      <c r="BH48" s="78">
        <f>IF(BG48&gt;BH47,BG48,BH47)</f>
        <v>12</v>
      </c>
      <c r="BI48" s="78">
        <f>IF(BH48&gt;BI47,BH48,BI47)</f>
        <v>12</v>
      </c>
      <c r="BJ48" s="78">
        <f>IF(BI48&gt;BJ47,BI48,BJ47)</f>
        <v>12</v>
      </c>
      <c r="BK48" s="78">
        <f>IF(BJ48&gt;BK47,BJ48,BK47)</f>
        <v>12</v>
      </c>
      <c r="BL48" s="78">
        <f>IF(BK48&gt;BL47,BK48,BL47)</f>
        <v>12</v>
      </c>
      <c r="BM48" s="78">
        <f>ROUND(BM49+Z51,2)</f>
        <v>4604.18</v>
      </c>
      <c r="BN48" s="78" t="s">
        <v>562</v>
      </c>
    </row>
    <row r="49" spans="1:66" x14ac:dyDescent="0.25">
      <c r="A49" s="78" t="s">
        <v>248</v>
      </c>
      <c r="E49" s="88" t="s">
        <v>282</v>
      </c>
      <c r="F49" s="88"/>
      <c r="G49" s="88">
        <v>0</v>
      </c>
      <c r="H49" s="88">
        <v>15000</v>
      </c>
      <c r="I49" s="88">
        <v>0</v>
      </c>
      <c r="J49" s="88">
        <v>0</v>
      </c>
      <c r="K49" s="88">
        <f>IF($K$47=1,G49,IF($K$47=2,H49,IF($K$47=3,I49,IF($K$47=4,J49,0))))</f>
        <v>0</v>
      </c>
      <c r="M49" s="78" t="s">
        <v>280</v>
      </c>
      <c r="N49" s="78">
        <f>N48</f>
        <v>2</v>
      </c>
      <c r="O49" s="78">
        <f>O48-N48</f>
        <v>1</v>
      </c>
      <c r="P49" s="78">
        <f t="shared" ref="P49:Y49" si="88">P48-O48</f>
        <v>0</v>
      </c>
      <c r="Q49" s="78">
        <f t="shared" si="88"/>
        <v>1</v>
      </c>
      <c r="R49" s="78">
        <f t="shared" si="88"/>
        <v>1</v>
      </c>
      <c r="S49" s="78">
        <f t="shared" si="88"/>
        <v>0</v>
      </c>
      <c r="T49" s="78">
        <f t="shared" si="88"/>
        <v>3</v>
      </c>
      <c r="U49" s="78">
        <f t="shared" si="88"/>
        <v>0</v>
      </c>
      <c r="V49" s="78">
        <f t="shared" si="88"/>
        <v>0</v>
      </c>
      <c r="W49" s="78">
        <f t="shared" si="88"/>
        <v>1</v>
      </c>
      <c r="X49" s="78">
        <f t="shared" si="88"/>
        <v>1</v>
      </c>
      <c r="Y49" s="78">
        <f t="shared" si="88"/>
        <v>2</v>
      </c>
      <c r="AB49" s="263">
        <f>AB48-Y48</f>
        <v>0</v>
      </c>
      <c r="AC49" s="263">
        <f>AC48-AB48</f>
        <v>0</v>
      </c>
      <c r="AD49" s="263">
        <f>AD48-AC48</f>
        <v>0</v>
      </c>
      <c r="AE49" s="263">
        <f>AE48-AD48</f>
        <v>0</v>
      </c>
      <c r="AF49" s="263">
        <f>AF48-AE48</f>
        <v>0</v>
      </c>
      <c r="AG49" s="263">
        <f>AG48-AF48</f>
        <v>0</v>
      </c>
      <c r="AH49" s="263"/>
      <c r="AL49" s="78">
        <f>AL48-Y48</f>
        <v>0</v>
      </c>
      <c r="AM49" s="78">
        <f>AM48-AL48</f>
        <v>0</v>
      </c>
      <c r="AN49" s="78">
        <f>AN48-AM48</f>
        <v>0</v>
      </c>
      <c r="AO49" s="78">
        <f>AO48-AN48</f>
        <v>0</v>
      </c>
      <c r="AP49" s="78">
        <f>AP48-AO48</f>
        <v>0</v>
      </c>
      <c r="AQ49" s="78">
        <f>AQ48-AP48</f>
        <v>0</v>
      </c>
      <c r="AW49" s="78" t="s">
        <v>280</v>
      </c>
      <c r="BG49" s="78">
        <f>BG48-AQ48</f>
        <v>0</v>
      </c>
      <c r="BH49" s="78">
        <f>BH48-BG48</f>
        <v>0</v>
      </c>
      <c r="BI49" s="78">
        <f>BI48-BH48</f>
        <v>0</v>
      </c>
      <c r="BJ49" s="78">
        <f>BJ48-BI48</f>
        <v>0</v>
      </c>
      <c r="BK49" s="78">
        <f>BK48-BJ48</f>
        <v>0</v>
      </c>
      <c r="BL49" s="78">
        <f>BL48-BK48</f>
        <v>0</v>
      </c>
      <c r="BM49" s="163">
        <f>BM50+BM51</f>
        <v>3000</v>
      </c>
      <c r="BN49" s="78" t="s">
        <v>557</v>
      </c>
    </row>
    <row r="50" spans="1:66" x14ac:dyDescent="0.25">
      <c r="A50" s="78" t="s">
        <v>249</v>
      </c>
      <c r="E50" s="88" t="s">
        <v>289</v>
      </c>
      <c r="F50" s="88"/>
      <c r="G50" s="88">
        <v>0</v>
      </c>
      <c r="H50" s="88">
        <v>0.1</v>
      </c>
      <c r="I50" s="88">
        <v>0.1</v>
      </c>
      <c r="J50" s="88">
        <v>0.2</v>
      </c>
      <c r="K50" s="88">
        <f>IF($K$47=1,G50,IF($K$47=2,H50,IF($K$47=3,I50,IF($K$47=4,J50,0))))</f>
        <v>0</v>
      </c>
      <c r="M50" s="78" t="s">
        <v>281</v>
      </c>
      <c r="N50" s="78">
        <f>N49*$J$42</f>
        <v>5000</v>
      </c>
      <c r="O50" s="78">
        <f t="shared" ref="O50:AG50" si="89">O49*$J$42</f>
        <v>2500</v>
      </c>
      <c r="P50" s="78">
        <f t="shared" si="89"/>
        <v>0</v>
      </c>
      <c r="Q50" s="78">
        <f t="shared" si="89"/>
        <v>2500</v>
      </c>
      <c r="R50" s="78">
        <f t="shared" si="89"/>
        <v>2500</v>
      </c>
      <c r="S50" s="78">
        <f t="shared" si="89"/>
        <v>0</v>
      </c>
      <c r="T50" s="78">
        <f t="shared" si="89"/>
        <v>7500</v>
      </c>
      <c r="U50" s="78">
        <f t="shared" si="89"/>
        <v>0</v>
      </c>
      <c r="V50" s="78">
        <f t="shared" si="89"/>
        <v>0</v>
      </c>
      <c r="W50" s="78">
        <f t="shared" si="89"/>
        <v>2500</v>
      </c>
      <c r="X50" s="78">
        <f t="shared" si="89"/>
        <v>2500</v>
      </c>
      <c r="Y50" s="78">
        <f t="shared" si="89"/>
        <v>5000</v>
      </c>
      <c r="Z50" s="78">
        <f>SUM(N50:Y50)</f>
        <v>30000</v>
      </c>
      <c r="AA50" s="78" t="s">
        <v>538</v>
      </c>
      <c r="AB50" s="263">
        <f t="shared" si="89"/>
        <v>0</v>
      </c>
      <c r="AC50" s="263">
        <f t="shared" si="89"/>
        <v>0</v>
      </c>
      <c r="AD50" s="263">
        <f t="shared" si="89"/>
        <v>0</v>
      </c>
      <c r="AE50" s="263">
        <f t="shared" si="89"/>
        <v>0</v>
      </c>
      <c r="AF50" s="263">
        <f t="shared" si="89"/>
        <v>0</v>
      </c>
      <c r="AG50" s="263">
        <f t="shared" si="89"/>
        <v>0</v>
      </c>
      <c r="AH50" s="263"/>
      <c r="AL50" s="78">
        <f t="shared" ref="AL50:AQ50" si="90">AL49*$J$42</f>
        <v>0</v>
      </c>
      <c r="AM50" s="78">
        <f t="shared" si="90"/>
        <v>0</v>
      </c>
      <c r="AN50" s="78">
        <f t="shared" si="90"/>
        <v>0</v>
      </c>
      <c r="AO50" s="78">
        <f t="shared" si="90"/>
        <v>0</v>
      </c>
      <c r="AP50" s="78">
        <f t="shared" si="90"/>
        <v>0</v>
      </c>
      <c r="AQ50" s="78">
        <f t="shared" si="90"/>
        <v>0</v>
      </c>
      <c r="AW50" s="78" t="s">
        <v>281</v>
      </c>
      <c r="BD50" s="78" t="s">
        <v>561</v>
      </c>
      <c r="BE50" s="78">
        <f>SUM(BG50:BL50)+SUM(AL50:AQ50)</f>
        <v>0</v>
      </c>
      <c r="BG50" s="78">
        <f t="shared" ref="BG50:BL50" si="91">BG49*$J$42</f>
        <v>0</v>
      </c>
      <c r="BH50" s="78">
        <f t="shared" si="91"/>
        <v>0</v>
      </c>
      <c r="BI50" s="78">
        <f t="shared" si="91"/>
        <v>0</v>
      </c>
      <c r="BJ50" s="78">
        <f t="shared" si="91"/>
        <v>0</v>
      </c>
      <c r="BK50" s="78">
        <f t="shared" si="91"/>
        <v>0</v>
      </c>
      <c r="BL50" s="78">
        <f t="shared" si="91"/>
        <v>0</v>
      </c>
      <c r="BM50" s="163">
        <f>Z50/10</f>
        <v>3000</v>
      </c>
      <c r="BN50" s="78" t="s">
        <v>556</v>
      </c>
    </row>
    <row r="51" spans="1:66" x14ac:dyDescent="0.25">
      <c r="A51" s="78" t="s">
        <v>443</v>
      </c>
      <c r="E51" s="88" t="s">
        <v>290</v>
      </c>
      <c r="F51" s="88"/>
      <c r="G51" s="88">
        <v>0.9</v>
      </c>
      <c r="H51" s="88">
        <v>1.1200000000000001</v>
      </c>
      <c r="I51" s="88">
        <v>1.08</v>
      </c>
      <c r="J51" s="88">
        <v>1.35</v>
      </c>
      <c r="K51" s="88">
        <f>IF($K$47=1,G51,IF($K$47=2,H51,IF($K$47=3,I51,IF($K$47=4,J51,0))))</f>
        <v>0.9</v>
      </c>
      <c r="M51" s="78" t="s">
        <v>536</v>
      </c>
      <c r="N51" s="78">
        <f>ROUND(N50/10*(N25/12),2)</f>
        <v>500</v>
      </c>
      <c r="O51" s="78">
        <f>ROUND(O50/10*(O25/12),2)</f>
        <v>229.17</v>
      </c>
      <c r="P51" s="78">
        <f t="shared" ref="P51:Y51" si="92">ROUND(P50/10*(P25/12),2)</f>
        <v>0</v>
      </c>
      <c r="Q51" s="78">
        <f t="shared" si="92"/>
        <v>187.5</v>
      </c>
      <c r="R51" s="78">
        <f t="shared" si="92"/>
        <v>166.67</v>
      </c>
      <c r="S51" s="78">
        <f t="shared" si="92"/>
        <v>0</v>
      </c>
      <c r="T51" s="78">
        <f t="shared" si="92"/>
        <v>375</v>
      </c>
      <c r="U51" s="78">
        <f t="shared" si="92"/>
        <v>0</v>
      </c>
      <c r="V51" s="78">
        <f t="shared" si="92"/>
        <v>0</v>
      </c>
      <c r="W51" s="78">
        <f t="shared" si="92"/>
        <v>62.5</v>
      </c>
      <c r="X51" s="78">
        <f t="shared" si="92"/>
        <v>41.67</v>
      </c>
      <c r="Y51" s="78">
        <f t="shared" si="92"/>
        <v>41.67</v>
      </c>
      <c r="Z51" s="78">
        <f>ROUND(SUM(N51:Y51),2)</f>
        <v>1604.18</v>
      </c>
      <c r="AA51" s="78" t="s">
        <v>537</v>
      </c>
      <c r="AB51" s="263"/>
      <c r="AC51" s="263"/>
      <c r="AD51" s="263"/>
      <c r="AE51" s="263"/>
      <c r="AF51" s="263"/>
      <c r="AG51" s="263"/>
      <c r="AH51" s="263"/>
      <c r="AL51" s="78">
        <f t="shared" ref="AL51:AQ51" si="93">AL50/10*(AL25/12)</f>
        <v>0</v>
      </c>
      <c r="AM51" s="78">
        <f t="shared" si="93"/>
        <v>0</v>
      </c>
      <c r="AN51" s="78">
        <f t="shared" si="93"/>
        <v>0</v>
      </c>
      <c r="AO51" s="78">
        <f t="shared" si="93"/>
        <v>0</v>
      </c>
      <c r="AP51" s="78">
        <f t="shared" si="93"/>
        <v>0</v>
      </c>
      <c r="AQ51" s="78">
        <f t="shared" si="93"/>
        <v>0</v>
      </c>
      <c r="AW51" s="78" t="s">
        <v>536</v>
      </c>
      <c r="BG51" s="78">
        <f t="shared" ref="BG51:BL51" si="94">BG50/10*(BG1/12)</f>
        <v>0</v>
      </c>
      <c r="BH51" s="78">
        <f t="shared" si="94"/>
        <v>0</v>
      </c>
      <c r="BI51" s="78">
        <f t="shared" si="94"/>
        <v>0</v>
      </c>
      <c r="BJ51" s="78">
        <f t="shared" si="94"/>
        <v>0</v>
      </c>
      <c r="BK51" s="78">
        <f t="shared" si="94"/>
        <v>0</v>
      </c>
      <c r="BL51" s="78">
        <f t="shared" si="94"/>
        <v>0</v>
      </c>
      <c r="BM51" s="78">
        <f>SUM(AL51:AQ51)+SUM(BG51:BL51)</f>
        <v>0</v>
      </c>
      <c r="BN51" s="78" t="s">
        <v>555</v>
      </c>
    </row>
    <row r="52" spans="1:66" x14ac:dyDescent="0.25">
      <c r="A52" s="78" t="s">
        <v>258</v>
      </c>
      <c r="E52" s="88" t="s">
        <v>346</v>
      </c>
      <c r="F52" s="88"/>
      <c r="G52" s="88">
        <v>0</v>
      </c>
      <c r="H52" s="88">
        <v>0</v>
      </c>
      <c r="I52" s="88">
        <v>1.5</v>
      </c>
      <c r="J52" s="88">
        <v>0</v>
      </c>
      <c r="K52" s="88">
        <f>IF($K$47=1,G52,IF($K$47=2,H52,IF($K$47=3,I52,IF($K$47=4,J52,0))))</f>
        <v>0</v>
      </c>
      <c r="M52" s="78" t="s">
        <v>297</v>
      </c>
      <c r="N52" s="78">
        <f>ROUND(N14*$K$50,0)</f>
        <v>0</v>
      </c>
      <c r="O52" s="78">
        <f>ROUND(O14*$K$50,0)</f>
        <v>0</v>
      </c>
      <c r="P52" s="78">
        <f>ROUND(P14*$K$50,0)</f>
        <v>0</v>
      </c>
      <c r="Q52" s="78">
        <f>ROUND(Q14*$K$50,0)</f>
        <v>0</v>
      </c>
      <c r="R52" s="78">
        <f t="shared" ref="R52:Y52" si="95">ROUND(R14*$K$50,0)</f>
        <v>0</v>
      </c>
      <c r="S52" s="78">
        <f t="shared" si="95"/>
        <v>0</v>
      </c>
      <c r="T52" s="78">
        <f t="shared" si="95"/>
        <v>0</v>
      </c>
      <c r="U52" s="78">
        <f t="shared" si="95"/>
        <v>0</v>
      </c>
      <c r="V52" s="78">
        <f t="shared" si="95"/>
        <v>0</v>
      </c>
      <c r="W52" s="78">
        <f t="shared" si="95"/>
        <v>0</v>
      </c>
      <c r="X52" s="78">
        <f t="shared" si="95"/>
        <v>0</v>
      </c>
      <c r="Y52" s="78">
        <f t="shared" si="95"/>
        <v>0</v>
      </c>
      <c r="AB52" s="263">
        <f t="shared" ref="AB52:AM52" si="96">AB14*$K$50</f>
        <v>0</v>
      </c>
      <c r="AC52" s="263">
        <f t="shared" si="96"/>
        <v>0</v>
      </c>
      <c r="AD52" s="263">
        <f t="shared" si="96"/>
        <v>0</v>
      </c>
      <c r="AE52" s="263">
        <f t="shared" si="96"/>
        <v>0</v>
      </c>
      <c r="AF52" s="263">
        <f t="shared" si="96"/>
        <v>0</v>
      </c>
      <c r="AG52" s="263">
        <f t="shared" si="96"/>
        <v>0</v>
      </c>
      <c r="AH52" s="263"/>
      <c r="AL52" s="78">
        <f t="shared" si="96"/>
        <v>0</v>
      </c>
      <c r="AM52" s="78">
        <f t="shared" si="96"/>
        <v>0</v>
      </c>
      <c r="AN52" s="78">
        <f>AN16</f>
        <v>0</v>
      </c>
      <c r="AO52" s="78">
        <f>AO16</f>
        <v>0</v>
      </c>
      <c r="AP52" s="78">
        <f>AP16</f>
        <v>0</v>
      </c>
      <c r="AQ52" s="78">
        <f>AQ16</f>
        <v>0</v>
      </c>
      <c r="AS52" s="78" t="s">
        <v>297</v>
      </c>
      <c r="AW52" s="78">
        <f>AW14*$K$50</f>
        <v>0</v>
      </c>
      <c r="AX52" s="78">
        <f>AX14*$K$50</f>
        <v>0</v>
      </c>
      <c r="AY52" s="78">
        <f>AY16</f>
        <v>0</v>
      </c>
      <c r="AZ52" s="78">
        <f>AZ16</f>
        <v>0</v>
      </c>
      <c r="BA52" s="78">
        <f>BA16</f>
        <v>0</v>
      </c>
      <c r="BB52" s="78">
        <f>BB16</f>
        <v>0</v>
      </c>
      <c r="BD52" s="78" t="s">
        <v>297</v>
      </c>
      <c r="BG52" s="78">
        <f t="shared" ref="BG52:BL52" si="97">BG12</f>
        <v>0</v>
      </c>
      <c r="BH52" s="78">
        <f t="shared" si="97"/>
        <v>0</v>
      </c>
      <c r="BI52" s="78">
        <f t="shared" si="97"/>
        <v>0</v>
      </c>
      <c r="BJ52" s="78">
        <f t="shared" si="97"/>
        <v>0</v>
      </c>
      <c r="BK52" s="78">
        <f t="shared" si="97"/>
        <v>0</v>
      </c>
      <c r="BL52" s="78">
        <f t="shared" si="97"/>
        <v>0</v>
      </c>
    </row>
    <row r="53" spans="1:66" x14ac:dyDescent="0.25">
      <c r="E53" s="88" t="s">
        <v>306</v>
      </c>
      <c r="F53" s="88"/>
      <c r="G53" s="88">
        <v>0</v>
      </c>
      <c r="H53" s="88">
        <v>0</v>
      </c>
      <c r="I53" s="88">
        <v>0</v>
      </c>
      <c r="J53" s="88">
        <v>0.25</v>
      </c>
      <c r="K53" s="88">
        <f>IF($K$47=1,G53,IF($K$47=2,H53,IF($K$47=3,I53,IF($K$47=4,J53,0))))</f>
        <v>0</v>
      </c>
      <c r="M53" s="78" t="s">
        <v>298</v>
      </c>
      <c r="T53" s="78">
        <f t="shared" ref="T53:Y53" si="98">ROUND(T28*$K$50,0)</f>
        <v>0</v>
      </c>
      <c r="U53" s="78">
        <f t="shared" si="98"/>
        <v>0</v>
      </c>
      <c r="V53" s="78">
        <f t="shared" si="98"/>
        <v>0</v>
      </c>
      <c r="W53" s="78">
        <f t="shared" si="98"/>
        <v>0</v>
      </c>
      <c r="X53" s="78">
        <f t="shared" si="98"/>
        <v>0</v>
      </c>
      <c r="Y53" s="78">
        <f t="shared" si="98"/>
        <v>0</v>
      </c>
      <c r="AB53" s="263">
        <f t="shared" ref="AB53:AM53" si="99">AB28*$K$50</f>
        <v>0</v>
      </c>
      <c r="AC53" s="263">
        <f t="shared" si="99"/>
        <v>0</v>
      </c>
      <c r="AD53" s="263">
        <f t="shared" si="99"/>
        <v>0</v>
      </c>
      <c r="AE53" s="263">
        <f t="shared" si="99"/>
        <v>0</v>
      </c>
      <c r="AF53" s="263">
        <f t="shared" si="99"/>
        <v>0</v>
      </c>
      <c r="AG53" s="263">
        <f t="shared" si="99"/>
        <v>0</v>
      </c>
      <c r="AH53" s="263"/>
      <c r="AL53" s="78">
        <f t="shared" si="99"/>
        <v>0</v>
      </c>
      <c r="AM53" s="78">
        <f t="shared" si="99"/>
        <v>0</v>
      </c>
      <c r="AN53" s="78">
        <f>AN29</f>
        <v>0</v>
      </c>
      <c r="AO53" s="78">
        <f>AO29</f>
        <v>0</v>
      </c>
      <c r="AP53" s="78">
        <f>AP29</f>
        <v>0</v>
      </c>
      <c r="AQ53" s="78">
        <f>AQ29</f>
        <v>0</v>
      </c>
      <c r="AS53" s="78" t="s">
        <v>298</v>
      </c>
      <c r="AW53" s="78">
        <f>AW28*$K$50</f>
        <v>0</v>
      </c>
      <c r="AX53" s="78">
        <f>AX28*$K$50</f>
        <v>0</v>
      </c>
      <c r="AY53" s="78">
        <f>AY29</f>
        <v>0</v>
      </c>
      <c r="AZ53" s="78">
        <f>AZ29</f>
        <v>0</v>
      </c>
      <c r="BA53" s="78">
        <f>BA29</f>
        <v>0</v>
      </c>
      <c r="BB53" s="78">
        <f>BB29</f>
        <v>0</v>
      </c>
      <c r="BD53" s="78" t="s">
        <v>298</v>
      </c>
      <c r="BG53" s="78">
        <f t="shared" ref="BG53:BL53" si="100">BG27</f>
        <v>0</v>
      </c>
      <c r="BH53" s="78">
        <f t="shared" si="100"/>
        <v>0</v>
      </c>
      <c r="BI53" s="78">
        <f t="shared" si="100"/>
        <v>0</v>
      </c>
      <c r="BJ53" s="78">
        <f t="shared" si="100"/>
        <v>0</v>
      </c>
      <c r="BK53" s="78">
        <f t="shared" si="100"/>
        <v>0</v>
      </c>
      <c r="BL53" s="78">
        <f t="shared" si="100"/>
        <v>0</v>
      </c>
    </row>
    <row r="54" spans="1:66" x14ac:dyDescent="0.25">
      <c r="E54" s="88" t="s">
        <v>292</v>
      </c>
      <c r="F54" s="88"/>
      <c r="G54" s="88"/>
      <c r="H54" s="88" t="s">
        <v>293</v>
      </c>
      <c r="I54" s="88" t="s">
        <v>294</v>
      </c>
      <c r="J54" s="88" t="s">
        <v>295</v>
      </c>
      <c r="K54" s="88" t="str">
        <f>IF($K$47=1,"",IF($K$47=2,H54,IF($K$47=3,I54,IF($K$47=4,J54,0))))</f>
        <v/>
      </c>
      <c r="M54" s="78" t="s">
        <v>544</v>
      </c>
      <c r="N54" s="78">
        <f>N52*$K$52</f>
        <v>0</v>
      </c>
      <c r="O54" s="78">
        <f t="shared" ref="O54:Y54" si="101">O52*$K$52</f>
        <v>0</v>
      </c>
      <c r="P54" s="78">
        <f t="shared" si="101"/>
        <v>0</v>
      </c>
      <c r="Q54" s="78">
        <f t="shared" si="101"/>
        <v>0</v>
      </c>
      <c r="R54" s="78">
        <f t="shared" si="101"/>
        <v>0</v>
      </c>
      <c r="S54" s="78">
        <f t="shared" si="101"/>
        <v>0</v>
      </c>
      <c r="T54" s="78">
        <f t="shared" si="101"/>
        <v>0</v>
      </c>
      <c r="U54" s="78">
        <f t="shared" si="101"/>
        <v>0</v>
      </c>
      <c r="V54" s="78">
        <f t="shared" si="101"/>
        <v>0</v>
      </c>
      <c r="W54" s="78">
        <f t="shared" si="101"/>
        <v>0</v>
      </c>
      <c r="X54" s="78">
        <f t="shared" si="101"/>
        <v>0</v>
      </c>
      <c r="Y54" s="78">
        <f t="shared" si="101"/>
        <v>0</v>
      </c>
      <c r="AB54" s="263">
        <f t="shared" ref="AB54:AG54" si="102">(AB52+AB53)*$K$52*$D$46/100</f>
        <v>0</v>
      </c>
      <c r="AC54" s="263">
        <f t="shared" si="102"/>
        <v>0</v>
      </c>
      <c r="AD54" s="263">
        <f t="shared" si="102"/>
        <v>0</v>
      </c>
      <c r="AE54" s="263">
        <f t="shared" si="102"/>
        <v>0</v>
      </c>
      <c r="AF54" s="263">
        <f t="shared" si="102"/>
        <v>0</v>
      </c>
      <c r="AG54" s="263">
        <f t="shared" si="102"/>
        <v>0</v>
      </c>
      <c r="AH54" s="263"/>
      <c r="AL54" s="78">
        <f>ROUND((AL52+AL53)*$K$52*$D$46/100,2)</f>
        <v>0</v>
      </c>
      <c r="AM54" s="78">
        <f>ROUND((AM52+AM53)*$K$52*$D$46/100,2)</f>
        <v>0</v>
      </c>
      <c r="AN54" s="78">
        <f>ROUND((AN52+AN53)*$G$62*$E$76/100,2)</f>
        <v>0</v>
      </c>
      <c r="AO54" s="78">
        <f>ROUND((AO52+AO53)*$G$62*$E$76/100,2)</f>
        <v>0</v>
      </c>
      <c r="AP54" s="78">
        <f>ROUND((AP52+AP53)*$G$62*$E$76/100,2)</f>
        <v>0</v>
      </c>
      <c r="AQ54" s="78">
        <f>ROUND((AQ52+AQ53)*$G$62*$E$76/100,2)</f>
        <v>0</v>
      </c>
      <c r="BD54" s="78" t="s">
        <v>492</v>
      </c>
      <c r="BG54" s="78">
        <f t="shared" ref="BG54:BL54" si="103">ROUND((BG52+BG53)*$G$62*$E$76/100,2)</f>
        <v>0</v>
      </c>
      <c r="BH54" s="78">
        <f t="shared" si="103"/>
        <v>0</v>
      </c>
      <c r="BI54" s="78">
        <f t="shared" si="103"/>
        <v>0</v>
      </c>
      <c r="BJ54" s="78">
        <f t="shared" si="103"/>
        <v>0</v>
      </c>
      <c r="BK54" s="78">
        <f t="shared" si="103"/>
        <v>0</v>
      </c>
      <c r="BL54" s="78">
        <f t="shared" si="103"/>
        <v>0</v>
      </c>
    </row>
    <row r="55" spans="1:66" x14ac:dyDescent="0.25">
      <c r="T55" s="78">
        <f t="shared" ref="T55:Y55" si="104">(T52+T53)*$K$52*$D$46/100</f>
        <v>0</v>
      </c>
      <c r="U55" s="78">
        <f t="shared" si="104"/>
        <v>0</v>
      </c>
      <c r="V55" s="78">
        <f t="shared" si="104"/>
        <v>0</v>
      </c>
      <c r="W55" s="78">
        <f t="shared" si="104"/>
        <v>0</v>
      </c>
      <c r="X55" s="78">
        <f t="shared" si="104"/>
        <v>0</v>
      </c>
      <c r="Y55" s="78">
        <f t="shared" si="104"/>
        <v>0</v>
      </c>
      <c r="Z55" s="78" t="s">
        <v>545</v>
      </c>
      <c r="AB55" s="263"/>
      <c r="AC55" s="263"/>
      <c r="AD55" s="263"/>
      <c r="AE55" s="263"/>
      <c r="AF55" s="263"/>
      <c r="AG55" s="263"/>
      <c r="AH55" s="263"/>
    </row>
    <row r="56" spans="1:66" x14ac:dyDescent="0.25">
      <c r="A56" s="78" t="s">
        <v>345</v>
      </c>
      <c r="M56" s="78" t="s">
        <v>296</v>
      </c>
      <c r="N56" s="78">
        <f t="shared" ref="N56:AQ56" si="105">N52+N53</f>
        <v>0</v>
      </c>
      <c r="O56" s="78">
        <f t="shared" si="105"/>
        <v>0</v>
      </c>
      <c r="P56" s="78">
        <f t="shared" si="105"/>
        <v>0</v>
      </c>
      <c r="Q56" s="78">
        <f t="shared" si="105"/>
        <v>0</v>
      </c>
      <c r="R56" s="78">
        <f t="shared" si="105"/>
        <v>0</v>
      </c>
      <c r="S56" s="78">
        <f t="shared" si="105"/>
        <v>0</v>
      </c>
      <c r="T56" s="78">
        <f t="shared" si="105"/>
        <v>0</v>
      </c>
      <c r="U56" s="78">
        <f t="shared" si="105"/>
        <v>0</v>
      </c>
      <c r="V56" s="78">
        <f t="shared" si="105"/>
        <v>0</v>
      </c>
      <c r="W56" s="78">
        <f t="shared" si="105"/>
        <v>0</v>
      </c>
      <c r="X56" s="78">
        <f t="shared" si="105"/>
        <v>0</v>
      </c>
      <c r="Y56" s="78">
        <f t="shared" si="105"/>
        <v>0</v>
      </c>
      <c r="AB56" s="263">
        <f t="shared" si="105"/>
        <v>0</v>
      </c>
      <c r="AC56" s="263">
        <f t="shared" si="105"/>
        <v>0</v>
      </c>
      <c r="AD56" s="263">
        <f t="shared" si="105"/>
        <v>0</v>
      </c>
      <c r="AE56" s="263">
        <f t="shared" si="105"/>
        <v>0</v>
      </c>
      <c r="AF56" s="263">
        <f t="shared" si="105"/>
        <v>0</v>
      </c>
      <c r="AG56" s="263">
        <f t="shared" si="105"/>
        <v>0</v>
      </c>
      <c r="AH56" s="263"/>
      <c r="AL56" s="78">
        <f t="shared" si="105"/>
        <v>0</v>
      </c>
      <c r="AM56" s="78">
        <f t="shared" si="105"/>
        <v>0</v>
      </c>
      <c r="AN56" s="78">
        <f t="shared" si="105"/>
        <v>0</v>
      </c>
      <c r="AO56" s="78">
        <f t="shared" si="105"/>
        <v>0</v>
      </c>
      <c r="AP56" s="78">
        <f t="shared" si="105"/>
        <v>0</v>
      </c>
      <c r="AQ56" s="78">
        <f t="shared" si="105"/>
        <v>0</v>
      </c>
      <c r="AW56" s="78">
        <f t="shared" ref="AW56:BB56" si="106">AW52+AW53</f>
        <v>0</v>
      </c>
      <c r="AX56" s="78">
        <f t="shared" si="106"/>
        <v>0</v>
      </c>
      <c r="AY56" s="78">
        <f t="shared" si="106"/>
        <v>0</v>
      </c>
      <c r="AZ56" s="78">
        <f t="shared" si="106"/>
        <v>0</v>
      </c>
      <c r="BA56" s="78">
        <f t="shared" si="106"/>
        <v>0</v>
      </c>
      <c r="BB56" s="78">
        <f t="shared" si="106"/>
        <v>0</v>
      </c>
      <c r="BD56" s="78" t="s">
        <v>421</v>
      </c>
      <c r="BG56" s="78">
        <f t="shared" ref="BG56:BL56" si="107">BG12+BG27</f>
        <v>0</v>
      </c>
      <c r="BH56" s="78">
        <f t="shared" si="107"/>
        <v>0</v>
      </c>
      <c r="BI56" s="78">
        <f t="shared" si="107"/>
        <v>0</v>
      </c>
      <c r="BJ56" s="78">
        <f t="shared" si="107"/>
        <v>0</v>
      </c>
      <c r="BK56" s="78">
        <f t="shared" si="107"/>
        <v>0</v>
      </c>
      <c r="BL56" s="78">
        <f t="shared" si="107"/>
        <v>0</v>
      </c>
    </row>
    <row r="57" spans="1:66" x14ac:dyDescent="0.25">
      <c r="A57" s="91" t="s">
        <v>283</v>
      </c>
      <c r="B57" s="91"/>
      <c r="C57" s="91"/>
      <c r="D57" s="91"/>
      <c r="E57" s="91"/>
      <c r="F57" s="91"/>
      <c r="G57" s="91">
        <v>1</v>
      </c>
      <c r="H57" s="92" t="s">
        <v>385</v>
      </c>
      <c r="I57" s="92">
        <f>ROUND(O16*0.6,0)+1</f>
        <v>5</v>
      </c>
      <c r="M57" s="78" t="s">
        <v>299</v>
      </c>
      <c r="N57" s="78">
        <f>ROUNDUP(N56/3000,0)</f>
        <v>0</v>
      </c>
      <c r="O57" s="78">
        <f t="shared" ref="O57:AG57" si="108">ROUNDUP(O56/3000,0)</f>
        <v>0</v>
      </c>
      <c r="P57" s="78">
        <f t="shared" si="108"/>
        <v>0</v>
      </c>
      <c r="Q57" s="78">
        <f t="shared" si="108"/>
        <v>0</v>
      </c>
      <c r="R57" s="78">
        <f t="shared" si="108"/>
        <v>0</v>
      </c>
      <c r="S57" s="78">
        <f t="shared" si="108"/>
        <v>0</v>
      </c>
      <c r="T57" s="78">
        <f t="shared" si="108"/>
        <v>0</v>
      </c>
      <c r="U57" s="78">
        <f t="shared" si="108"/>
        <v>0</v>
      </c>
      <c r="V57" s="78">
        <f t="shared" si="108"/>
        <v>0</v>
      </c>
      <c r="W57" s="78">
        <f t="shared" si="108"/>
        <v>0</v>
      </c>
      <c r="X57" s="78">
        <f t="shared" si="108"/>
        <v>0</v>
      </c>
      <c r="Y57" s="78">
        <f t="shared" si="108"/>
        <v>0</v>
      </c>
      <c r="AB57" s="263">
        <f t="shared" si="108"/>
        <v>0</v>
      </c>
      <c r="AC57" s="263">
        <f t="shared" si="108"/>
        <v>0</v>
      </c>
      <c r="AD57" s="263">
        <f t="shared" si="108"/>
        <v>0</v>
      </c>
      <c r="AE57" s="263">
        <f t="shared" si="108"/>
        <v>0</v>
      </c>
      <c r="AF57" s="263">
        <f t="shared" si="108"/>
        <v>0</v>
      </c>
      <c r="AG57" s="263">
        <f t="shared" si="108"/>
        <v>0</v>
      </c>
      <c r="AH57" s="263" t="s">
        <v>299</v>
      </c>
      <c r="AL57" s="78">
        <f>AB57</f>
        <v>0</v>
      </c>
      <c r="AM57" s="78">
        <f>AC57</f>
        <v>0</v>
      </c>
      <c r="AN57" s="78">
        <f>ROUNDUP(AN56/3000,0)</f>
        <v>0</v>
      </c>
      <c r="AO57" s="78">
        <f>ROUNDUP(AO56/3000,0)</f>
        <v>0</v>
      </c>
      <c r="AP57" s="78">
        <f>ROUNDUP(AP56/3000,0)</f>
        <v>0</v>
      </c>
      <c r="AQ57" s="78">
        <f>ROUNDUP(AQ56/3000,0)</f>
        <v>0</v>
      </c>
      <c r="AR57" s="78" t="s">
        <v>299</v>
      </c>
      <c r="AW57" s="78">
        <f t="shared" ref="AW57:BB57" si="109">ROUNDUP(AW56/3000,0)</f>
        <v>0</v>
      </c>
      <c r="AX57" s="78">
        <f t="shared" si="109"/>
        <v>0</v>
      </c>
      <c r="AY57" s="78">
        <f t="shared" si="109"/>
        <v>0</v>
      </c>
      <c r="AZ57" s="78">
        <f t="shared" si="109"/>
        <v>0</v>
      </c>
      <c r="BA57" s="78">
        <f t="shared" si="109"/>
        <v>0</v>
      </c>
      <c r="BB57" s="78">
        <f t="shared" si="109"/>
        <v>0</v>
      </c>
      <c r="BD57" s="78" t="s">
        <v>420</v>
      </c>
      <c r="BG57" s="78">
        <f t="shared" ref="BG57:BL57" si="110">ROUNDUP(BG56/3000,0)</f>
        <v>0</v>
      </c>
      <c r="BH57" s="78">
        <f t="shared" si="110"/>
        <v>0</v>
      </c>
      <c r="BI57" s="78">
        <f t="shared" si="110"/>
        <v>0</v>
      </c>
      <c r="BJ57" s="78">
        <f t="shared" si="110"/>
        <v>0</v>
      </c>
      <c r="BK57" s="78">
        <f t="shared" si="110"/>
        <v>0</v>
      </c>
      <c r="BL57" s="78">
        <f t="shared" si="110"/>
        <v>0</v>
      </c>
    </row>
    <row r="58" spans="1:66" x14ac:dyDescent="0.25">
      <c r="A58" s="91"/>
      <c r="B58" s="91" t="s">
        <v>284</v>
      </c>
      <c r="C58" s="91" t="s">
        <v>285</v>
      </c>
      <c r="D58" s="91" t="s">
        <v>286</v>
      </c>
      <c r="E58" s="91" t="s">
        <v>287</v>
      </c>
      <c r="F58" s="91"/>
      <c r="G58" s="91" t="s">
        <v>115</v>
      </c>
      <c r="H58" s="92" t="s">
        <v>378</v>
      </c>
      <c r="I58" s="92">
        <f>IF(AND(G57=1,E67=2),0,MAX(AY22:BB22))</f>
        <v>0</v>
      </c>
      <c r="J58" s="92" t="s">
        <v>739</v>
      </c>
      <c r="K58" s="92" t="s">
        <v>726</v>
      </c>
      <c r="M58" s="78" t="s">
        <v>300</v>
      </c>
      <c r="N58" s="78">
        <f>N57</f>
        <v>0</v>
      </c>
      <c r="O58" s="78">
        <f>IF(N58&gt;O57,N58,O57)</f>
        <v>0</v>
      </c>
      <c r="P58" s="78">
        <f t="shared" ref="P58:Y58" si="111">IF(O58&gt;P57,O58,P57)</f>
        <v>0</v>
      </c>
      <c r="Q58" s="78">
        <f t="shared" si="111"/>
        <v>0</v>
      </c>
      <c r="R58" s="78">
        <f t="shared" si="111"/>
        <v>0</v>
      </c>
      <c r="S58" s="78">
        <f t="shared" si="111"/>
        <v>0</v>
      </c>
      <c r="T58" s="78">
        <f t="shared" si="111"/>
        <v>0</v>
      </c>
      <c r="U58" s="78">
        <f t="shared" si="111"/>
        <v>0</v>
      </c>
      <c r="V58" s="78">
        <f t="shared" si="111"/>
        <v>0</v>
      </c>
      <c r="W58" s="78">
        <f t="shared" si="111"/>
        <v>0</v>
      </c>
      <c r="X58" s="78">
        <f t="shared" si="111"/>
        <v>0</v>
      </c>
      <c r="Y58" s="78">
        <f t="shared" si="111"/>
        <v>0</v>
      </c>
      <c r="AB58" s="263">
        <f>IF(Y58&gt;AB57,Y58,AB57)</f>
        <v>0</v>
      </c>
      <c r="AC58" s="263">
        <f>IF(AB58&gt;AC57,AB58,AC57)</f>
        <v>0</v>
      </c>
      <c r="AD58" s="263">
        <f>IF(AC58&gt;AD57,AC58,AD57)</f>
        <v>0</v>
      </c>
      <c r="AE58" s="263">
        <f>IF(AD58&gt;AE57,AD58,AE57)</f>
        <v>0</v>
      </c>
      <c r="AF58" s="263">
        <f>IF(AE58&gt;AF57,AE58,AF57)</f>
        <v>0</v>
      </c>
      <c r="AG58" s="263">
        <f>IF(AF58&gt;AG57,AF58,AG57)</f>
        <v>0</v>
      </c>
      <c r="AH58" s="263" t="s">
        <v>300</v>
      </c>
      <c r="AL58" s="78">
        <f>IF(K47=2,AB58,0)</f>
        <v>0</v>
      </c>
      <c r="AM58" s="78">
        <f>IF(K47=2,AC58,0)</f>
        <v>0</v>
      </c>
      <c r="AN58" s="78">
        <f>IF(AM58&gt;AN57,AM58,AN57)</f>
        <v>0</v>
      </c>
      <c r="AO58" s="78">
        <f>IF(AN58&gt;AO57,AN58,AO57)</f>
        <v>0</v>
      </c>
      <c r="AP58" s="78">
        <f>IF(AO58&gt;AP57,AO58,AP57)</f>
        <v>0</v>
      </c>
      <c r="AQ58" s="78">
        <f>IF(AP58&gt;AQ57,AP58,AQ57)</f>
        <v>0</v>
      </c>
      <c r="AR58" s="78" t="s">
        <v>300</v>
      </c>
    </row>
    <row r="59" spans="1:66" x14ac:dyDescent="0.25">
      <c r="A59" s="91" t="s">
        <v>282</v>
      </c>
      <c r="B59" s="91">
        <v>0</v>
      </c>
      <c r="C59" s="91">
        <v>15000</v>
      </c>
      <c r="D59" s="91">
        <v>0</v>
      </c>
      <c r="E59" s="91">
        <v>0</v>
      </c>
      <c r="F59" s="91"/>
      <c r="G59" s="91">
        <f>IF($G$57=1,B59,IF($G$57=2,C59,IF($G$57=3,D59,IF($G$57=4,E59,0))))</f>
        <v>0</v>
      </c>
      <c r="H59" s="92" t="s">
        <v>379</v>
      </c>
      <c r="I59" s="92">
        <f>IF(K61&gt;AC16,AC16,K61)</f>
        <v>0</v>
      </c>
      <c r="J59" s="92">
        <f>Employment!$B$20</f>
        <v>0</v>
      </c>
      <c r="K59" s="92">
        <v>0</v>
      </c>
      <c r="M59" s="78" t="s">
        <v>301</v>
      </c>
      <c r="N59" s="78">
        <f>N58</f>
        <v>0</v>
      </c>
      <c r="O59" s="78">
        <f>O58-N58</f>
        <v>0</v>
      </c>
      <c r="P59" s="78">
        <f t="shared" ref="P59:Y59" si="112">P58-O58</f>
        <v>0</v>
      </c>
      <c r="Q59" s="78">
        <f t="shared" si="112"/>
        <v>0</v>
      </c>
      <c r="R59" s="78">
        <f t="shared" si="112"/>
        <v>0</v>
      </c>
      <c r="S59" s="78">
        <f t="shared" si="112"/>
        <v>0</v>
      </c>
      <c r="T59" s="78">
        <f t="shared" si="112"/>
        <v>0</v>
      </c>
      <c r="U59" s="78">
        <f t="shared" si="112"/>
        <v>0</v>
      </c>
      <c r="V59" s="78">
        <f t="shared" si="112"/>
        <v>0</v>
      </c>
      <c r="W59" s="78">
        <f t="shared" si="112"/>
        <v>0</v>
      </c>
      <c r="X59" s="78">
        <f t="shared" si="112"/>
        <v>0</v>
      </c>
      <c r="Y59" s="78">
        <f t="shared" si="112"/>
        <v>0</v>
      </c>
      <c r="AB59" s="263">
        <f>AB58-Y58</f>
        <v>0</v>
      </c>
      <c r="AC59" s="263">
        <f>AC58-AB58</f>
        <v>0</v>
      </c>
      <c r="AD59" s="263">
        <f>AD58-AC58</f>
        <v>0</v>
      </c>
      <c r="AE59" s="263">
        <f>AE58-AD58</f>
        <v>0</v>
      </c>
      <c r="AF59" s="263">
        <f>AF58-AE58</f>
        <v>0</v>
      </c>
      <c r="AG59" s="263">
        <f>AG58-AF58</f>
        <v>0</v>
      </c>
      <c r="AH59" s="263" t="s">
        <v>301</v>
      </c>
      <c r="AL59" s="78">
        <f>AB59</f>
        <v>0</v>
      </c>
      <c r="AM59" s="78">
        <f>AM58-AL58</f>
        <v>0</v>
      </c>
      <c r="AN59" s="78">
        <f>AN58-AM58</f>
        <v>0</v>
      </c>
      <c r="AO59" s="78">
        <f>AO58-AN58</f>
        <v>0</v>
      </c>
      <c r="AP59" s="78">
        <f>AP58-AO58</f>
        <v>0</v>
      </c>
      <c r="AQ59" s="78">
        <f>AQ58-AP58</f>
        <v>0</v>
      </c>
      <c r="AR59" s="78" t="s">
        <v>301</v>
      </c>
    </row>
    <row r="60" spans="1:66" x14ac:dyDescent="0.25">
      <c r="A60" s="91" t="s">
        <v>358</v>
      </c>
      <c r="B60" s="91">
        <v>0</v>
      </c>
      <c r="C60" s="91">
        <v>0.1</v>
      </c>
      <c r="D60" s="91">
        <v>0.1</v>
      </c>
      <c r="E60" s="91">
        <v>0.15</v>
      </c>
      <c r="F60" s="91"/>
      <c r="G60" s="91">
        <f>IF($G$57=1,B60,IF($G$57=2,C60,IF($G$57=3,D60,IF($G$57=4,E60,0))))</f>
        <v>0</v>
      </c>
      <c r="H60" s="92" t="s">
        <v>383</v>
      </c>
      <c r="I60" s="92">
        <f>IF(K3*160&lt;3000,3000,K3*160)</f>
        <v>5120</v>
      </c>
      <c r="K60" s="92" t="s">
        <v>741</v>
      </c>
      <c r="M60" s="78" t="s">
        <v>302</v>
      </c>
      <c r="N60" s="78">
        <f>N59*$K$49</f>
        <v>0</v>
      </c>
      <c r="O60" s="78">
        <f t="shared" ref="O60:X60" si="113">O59*$K$49</f>
        <v>0</v>
      </c>
      <c r="P60" s="78">
        <f t="shared" si="113"/>
        <v>0</v>
      </c>
      <c r="Q60" s="78">
        <f t="shared" si="113"/>
        <v>0</v>
      </c>
      <c r="R60" s="78">
        <f t="shared" si="113"/>
        <v>0</v>
      </c>
      <c r="S60" s="78">
        <f t="shared" si="113"/>
        <v>0</v>
      </c>
      <c r="T60" s="78">
        <f t="shared" si="113"/>
        <v>0</v>
      </c>
      <c r="U60" s="78">
        <f t="shared" si="113"/>
        <v>0</v>
      </c>
      <c r="V60" s="78">
        <f t="shared" si="113"/>
        <v>0</v>
      </c>
      <c r="W60" s="78">
        <f t="shared" si="113"/>
        <v>0</v>
      </c>
      <c r="X60" s="78">
        <f t="shared" si="113"/>
        <v>0</v>
      </c>
      <c r="Y60" s="78">
        <f>Y59*$K$49</f>
        <v>0</v>
      </c>
      <c r="Z60" s="78">
        <f>SUM(N60:Y60)</f>
        <v>0</v>
      </c>
      <c r="AA60" s="78" t="s">
        <v>401</v>
      </c>
      <c r="AB60" s="263">
        <f t="shared" ref="AB60:AG60" si="114">AB59*$K$49</f>
        <v>0</v>
      </c>
      <c r="AC60" s="263">
        <f t="shared" si="114"/>
        <v>0</v>
      </c>
      <c r="AD60" s="263">
        <f t="shared" si="114"/>
        <v>0</v>
      </c>
      <c r="AE60" s="263">
        <f t="shared" si="114"/>
        <v>0</v>
      </c>
      <c r="AF60" s="263">
        <f t="shared" si="114"/>
        <v>0</v>
      </c>
      <c r="AG60" s="263">
        <f t="shared" si="114"/>
        <v>0</v>
      </c>
      <c r="AH60" s="263"/>
      <c r="AL60" s="78">
        <f>AL59*$K$49</f>
        <v>0</v>
      </c>
      <c r="AM60" s="78">
        <f>AM59*$K$49</f>
        <v>0</v>
      </c>
      <c r="AN60" s="78">
        <f>AN59*$G$59</f>
        <v>0</v>
      </c>
      <c r="AO60" s="78">
        <f>AO59*$G$59</f>
        <v>0</v>
      </c>
      <c r="AP60" s="78">
        <f>AP59*$G$59</f>
        <v>0</v>
      </c>
      <c r="AQ60" s="78">
        <f>AQ59*$G$59</f>
        <v>0</v>
      </c>
      <c r="AR60" s="78">
        <f>SUM(AL60:AQ60)</f>
        <v>0</v>
      </c>
      <c r="AS60" s="78">
        <f>Z60+AR60</f>
        <v>0</v>
      </c>
      <c r="AT60" s="78" t="s">
        <v>399</v>
      </c>
      <c r="BD60" s="78" t="s">
        <v>486</v>
      </c>
      <c r="BF60" s="78">
        <f>AR61</f>
        <v>0</v>
      </c>
      <c r="BG60" s="78">
        <v>0</v>
      </c>
      <c r="BH60" s="78">
        <v>0</v>
      </c>
      <c r="BI60" s="78">
        <v>0</v>
      </c>
      <c r="BJ60" s="78">
        <v>0</v>
      </c>
      <c r="BK60" s="78">
        <v>0</v>
      </c>
      <c r="BL60" s="78">
        <v>0</v>
      </c>
      <c r="BM60" s="78" t="s">
        <v>494</v>
      </c>
    </row>
    <row r="61" spans="1:66" x14ac:dyDescent="0.25">
      <c r="A61" s="91" t="s">
        <v>347</v>
      </c>
      <c r="B61" s="91">
        <v>0</v>
      </c>
      <c r="C61" s="91">
        <f>J3</f>
        <v>5000</v>
      </c>
      <c r="D61" s="91">
        <f>J3</f>
        <v>5000</v>
      </c>
      <c r="E61" s="91">
        <f>J3</f>
        <v>5000</v>
      </c>
      <c r="F61" s="91"/>
      <c r="G61" s="91">
        <f>IF($G$57=1,B61,IF($G$57=2,C61,IF($G$57=3,D61,IF($G$57=4,E61,0))))</f>
        <v>0</v>
      </c>
      <c r="H61" s="92" t="s">
        <v>384</v>
      </c>
      <c r="I61" s="92">
        <f>MIN(I59,I57)</f>
        <v>0</v>
      </c>
      <c r="K61" s="92">
        <f>IF(Employment!B20="",K59,IF(J59&lt;0,0,IF(J59&gt;200,200,ROUND(J59,0))))</f>
        <v>0</v>
      </c>
      <c r="M61" s="78" t="s">
        <v>308</v>
      </c>
      <c r="N61" s="78">
        <f>(N60/10)*(N25/12)</f>
        <v>0</v>
      </c>
      <c r="O61" s="78">
        <f t="shared" ref="O61:X61" si="115">(O60/10)*(O25/12)</f>
        <v>0</v>
      </c>
      <c r="P61" s="78">
        <f t="shared" si="115"/>
        <v>0</v>
      </c>
      <c r="Q61" s="78">
        <f t="shared" si="115"/>
        <v>0</v>
      </c>
      <c r="R61" s="78">
        <f t="shared" si="115"/>
        <v>0</v>
      </c>
      <c r="S61" s="78">
        <f t="shared" si="115"/>
        <v>0</v>
      </c>
      <c r="T61" s="78">
        <f t="shared" si="115"/>
        <v>0</v>
      </c>
      <c r="U61" s="78">
        <f t="shared" si="115"/>
        <v>0</v>
      </c>
      <c r="V61" s="78">
        <f t="shared" si="115"/>
        <v>0</v>
      </c>
      <c r="W61" s="78">
        <f t="shared" si="115"/>
        <v>0</v>
      </c>
      <c r="X61" s="78">
        <f t="shared" si="115"/>
        <v>0</v>
      </c>
      <c r="Y61" s="78">
        <f>(Y60/10)*(Y25/12)</f>
        <v>0</v>
      </c>
      <c r="Z61" s="78">
        <f>SUM(N61:Y61)</f>
        <v>0</v>
      </c>
      <c r="AA61" s="78">
        <f>Z60/10</f>
        <v>0</v>
      </c>
      <c r="AB61" s="263">
        <f t="shared" ref="AB61:AG61" si="116">(AB60/10)*(AB25/12)</f>
        <v>0</v>
      </c>
      <c r="AC61" s="263">
        <f t="shared" si="116"/>
        <v>0</v>
      </c>
      <c r="AD61" s="263">
        <f t="shared" si="116"/>
        <v>0</v>
      </c>
      <c r="AE61" s="263">
        <f t="shared" si="116"/>
        <v>0</v>
      </c>
      <c r="AF61" s="263">
        <f t="shared" si="116"/>
        <v>0</v>
      </c>
      <c r="AG61" s="263">
        <f t="shared" si="116"/>
        <v>0</v>
      </c>
      <c r="AH61" s="263">
        <f>SUM(AB61:AG61)</f>
        <v>0</v>
      </c>
      <c r="AI61" s="78" t="s">
        <v>375</v>
      </c>
      <c r="AL61" s="78">
        <f t="shared" ref="AL61:AQ61" si="117">(AL60/10)*(AL25/12)</f>
        <v>0</v>
      </c>
      <c r="AM61" s="78">
        <f t="shared" si="117"/>
        <v>0</v>
      </c>
      <c r="AN61" s="78">
        <f t="shared" si="117"/>
        <v>0</v>
      </c>
      <c r="AO61" s="78">
        <f t="shared" si="117"/>
        <v>0</v>
      </c>
      <c r="AP61" s="78">
        <f t="shared" si="117"/>
        <v>0</v>
      </c>
      <c r="AQ61" s="78">
        <f t="shared" si="117"/>
        <v>0</v>
      </c>
      <c r="AR61" s="78">
        <f>SUM(AL61:AQ61)</f>
        <v>0</v>
      </c>
      <c r="AS61" s="78" t="s">
        <v>375</v>
      </c>
      <c r="BD61" s="78" t="s">
        <v>487</v>
      </c>
      <c r="BF61" s="78">
        <f>AS62</f>
        <v>0</v>
      </c>
    </row>
    <row r="62" spans="1:66" x14ac:dyDescent="0.25">
      <c r="A62" s="91" t="s">
        <v>346</v>
      </c>
      <c r="B62" s="91">
        <v>0</v>
      </c>
      <c r="C62" s="91">
        <v>0</v>
      </c>
      <c r="D62" s="91">
        <v>1.5</v>
      </c>
      <c r="E62" s="91">
        <v>0</v>
      </c>
      <c r="F62" s="91"/>
      <c r="G62" s="91">
        <f>IF($G$57=1,B62,IF($G$57=2,C62,IF($G$57=3,D62,IF($G$57=4,E62,0))))</f>
        <v>0</v>
      </c>
      <c r="H62" s="92" t="s">
        <v>386</v>
      </c>
      <c r="I62" s="92">
        <f>I61*3000</f>
        <v>0</v>
      </c>
      <c r="M62" s="78" t="s">
        <v>543</v>
      </c>
      <c r="N62" s="78">
        <f>N15+N28</f>
        <v>60980</v>
      </c>
      <c r="O62" s="78">
        <f t="shared" ref="O62:AG62" si="118">O15+O28</f>
        <v>151729</v>
      </c>
      <c r="P62" s="78">
        <f t="shared" si="118"/>
        <v>119920</v>
      </c>
      <c r="Q62" s="78">
        <f t="shared" si="118"/>
        <v>179680</v>
      </c>
      <c r="R62" s="78">
        <f t="shared" si="118"/>
        <v>213990</v>
      </c>
      <c r="S62" s="78">
        <f t="shared" si="118"/>
        <v>178670</v>
      </c>
      <c r="T62" s="78">
        <f t="shared" si="118"/>
        <v>251293</v>
      </c>
      <c r="U62" s="78">
        <f t="shared" si="118"/>
        <v>251524</v>
      </c>
      <c r="V62" s="78">
        <f t="shared" si="118"/>
        <v>220538</v>
      </c>
      <c r="W62" s="78">
        <f t="shared" si="118"/>
        <v>284506</v>
      </c>
      <c r="X62" s="78">
        <f t="shared" si="118"/>
        <v>320830</v>
      </c>
      <c r="Y62" s="78">
        <f t="shared" si="118"/>
        <v>416446</v>
      </c>
      <c r="AB62" s="263">
        <f t="shared" si="118"/>
        <v>271519</v>
      </c>
      <c r="AC62" s="263">
        <f t="shared" si="118"/>
        <v>290212</v>
      </c>
      <c r="AD62" s="263">
        <f t="shared" si="118"/>
        <v>247132</v>
      </c>
      <c r="AE62" s="263">
        <f t="shared" si="118"/>
        <v>311993</v>
      </c>
      <c r="AF62" s="263">
        <f t="shared" si="118"/>
        <v>330507</v>
      </c>
      <c r="AG62" s="263">
        <f t="shared" si="118"/>
        <v>253814</v>
      </c>
      <c r="AH62" s="263"/>
      <c r="AL62" s="78">
        <f>AB62</f>
        <v>271519</v>
      </c>
      <c r="AM62" s="78">
        <f>AC62</f>
        <v>290212</v>
      </c>
      <c r="AN62" s="78">
        <f>AN15+AN17+AK29</f>
        <v>0</v>
      </c>
      <c r="AO62" s="78">
        <f>AO15+AO17+AO29</f>
        <v>0</v>
      </c>
      <c r="AP62" s="78">
        <f>AP15+AP17+AP29</f>
        <v>0</v>
      </c>
      <c r="AQ62" s="78">
        <f>AQ15+AQ17+AQ29</f>
        <v>0</v>
      </c>
      <c r="AS62" s="78">
        <f>Z61+AR61+AA61</f>
        <v>0</v>
      </c>
      <c r="AT62" s="78" t="s">
        <v>400</v>
      </c>
      <c r="BD62" s="78" t="s">
        <v>305</v>
      </c>
      <c r="BG62" s="181">
        <f t="shared" ref="BG62:BL62" si="119">BG11+BG13+BG15+BG26+BG28+BG30</f>
        <v>0</v>
      </c>
      <c r="BH62" s="78">
        <f t="shared" si="119"/>
        <v>0</v>
      </c>
      <c r="BI62" s="78">
        <f t="shared" si="119"/>
        <v>0</v>
      </c>
      <c r="BJ62" s="78">
        <f t="shared" si="119"/>
        <v>0</v>
      </c>
      <c r="BK62" s="78">
        <f t="shared" si="119"/>
        <v>0</v>
      </c>
      <c r="BL62" s="78">
        <f t="shared" si="119"/>
        <v>0</v>
      </c>
    </row>
    <row r="63" spans="1:66" x14ac:dyDescent="0.25">
      <c r="A63" s="91" t="s">
        <v>306</v>
      </c>
      <c r="B63" s="91">
        <v>0</v>
      </c>
      <c r="C63" s="91">
        <v>0</v>
      </c>
      <c r="D63" s="91">
        <v>0</v>
      </c>
      <c r="E63" s="91">
        <v>0.25</v>
      </c>
      <c r="F63" s="91"/>
      <c r="G63" s="91">
        <f>IF($G$57=1,B63,IF($G$57=2,C63,IF($G$57=3,D63,IF($G$57=4,E63,0))))</f>
        <v>0</v>
      </c>
      <c r="H63" s="92" t="s">
        <v>387</v>
      </c>
      <c r="I63" s="92">
        <f>IF(I58=0,0,IF(I59/I58&gt;1,1,ROUND(I59/I58,2)))</f>
        <v>0</v>
      </c>
      <c r="M63" s="78" t="s">
        <v>303</v>
      </c>
      <c r="N63" s="78">
        <f>ROUND($K$50*(N62)*$K$53,2)</f>
        <v>0</v>
      </c>
      <c r="O63" s="78">
        <f>ROUND($K$50*(O62)*$K$53,2)</f>
        <v>0</v>
      </c>
      <c r="P63" s="78">
        <f>ROUND($K$50*(P62)*$K$53,2)</f>
        <v>0</v>
      </c>
      <c r="Q63" s="78">
        <f t="shared" ref="Q63:Y63" si="120">ROUND($K$50*(Q62)*$K$53,2)</f>
        <v>0</v>
      </c>
      <c r="R63" s="78">
        <f t="shared" si="120"/>
        <v>0</v>
      </c>
      <c r="S63" s="78">
        <f t="shared" si="120"/>
        <v>0</v>
      </c>
      <c r="T63" s="78">
        <f t="shared" si="120"/>
        <v>0</v>
      </c>
      <c r="U63" s="78">
        <f t="shared" si="120"/>
        <v>0</v>
      </c>
      <c r="V63" s="78">
        <f t="shared" si="120"/>
        <v>0</v>
      </c>
      <c r="W63" s="78">
        <f t="shared" si="120"/>
        <v>0</v>
      </c>
      <c r="X63" s="78">
        <f t="shared" si="120"/>
        <v>0</v>
      </c>
      <c r="Y63" s="78">
        <f t="shared" si="120"/>
        <v>0</v>
      </c>
      <c r="AB63" s="263">
        <f>$K$50*(AB62)*$K$53</f>
        <v>0</v>
      </c>
      <c r="AC63" s="263">
        <f t="shared" ref="AC63:AM63" si="121">$K$50*(AC62)*$K$53</f>
        <v>0</v>
      </c>
      <c r="AD63" s="263">
        <f t="shared" si="121"/>
        <v>0</v>
      </c>
      <c r="AE63" s="263">
        <f t="shared" si="121"/>
        <v>0</v>
      </c>
      <c r="AF63" s="263">
        <f t="shared" si="121"/>
        <v>0</v>
      </c>
      <c r="AG63" s="263">
        <f t="shared" si="121"/>
        <v>0</v>
      </c>
      <c r="AH63" s="263"/>
      <c r="AL63" s="78">
        <f t="shared" si="121"/>
        <v>0</v>
      </c>
      <c r="AM63" s="78">
        <f t="shared" si="121"/>
        <v>0</v>
      </c>
      <c r="AN63" s="78">
        <f>$D$74*(AN62)*$G$63</f>
        <v>0</v>
      </c>
      <c r="AO63" s="78">
        <f>$D$74*(AO62)*$G$63</f>
        <v>0</v>
      </c>
      <c r="AP63" s="78">
        <f>$D$74*(AP62)*$G$63</f>
        <v>0</v>
      </c>
      <c r="AQ63" s="78">
        <f>$D$74*(AQ62)*$G$63</f>
        <v>0</v>
      </c>
      <c r="BD63" s="78" t="s">
        <v>495</v>
      </c>
      <c r="BG63" s="78">
        <f t="shared" ref="BG63:BL63" si="122">ROUND($D$74*(BG62)*$G$63,2)</f>
        <v>0</v>
      </c>
      <c r="BH63" s="78">
        <f t="shared" si="122"/>
        <v>0</v>
      </c>
      <c r="BI63" s="78">
        <f t="shared" si="122"/>
        <v>0</v>
      </c>
      <c r="BJ63" s="78">
        <f t="shared" si="122"/>
        <v>0</v>
      </c>
      <c r="BK63" s="78">
        <f t="shared" si="122"/>
        <v>0</v>
      </c>
      <c r="BL63" s="78">
        <f t="shared" si="122"/>
        <v>0</v>
      </c>
    </row>
    <row r="64" spans="1:66" x14ac:dyDescent="0.25">
      <c r="A64" s="91" t="s">
        <v>292</v>
      </c>
      <c r="B64" s="91"/>
      <c r="C64" s="91" t="s">
        <v>372</v>
      </c>
      <c r="D64" s="91" t="s">
        <v>373</v>
      </c>
      <c r="E64" s="91" t="s">
        <v>374</v>
      </c>
      <c r="F64" s="91"/>
      <c r="G64" s="91" t="str">
        <f>IF($G$57=1,"",IF($G$57=2,C64,IF($G$57=3,D64,IF($G$57=4,E64,0))))</f>
        <v/>
      </c>
      <c r="H64" s="92" t="s">
        <v>388</v>
      </c>
      <c r="I64" s="92">
        <f>I59*I60</f>
        <v>0</v>
      </c>
      <c r="J64" s="154" t="s">
        <v>751</v>
      </c>
      <c r="K64" s="154">
        <f>'2019 Inc Statement'!F36</f>
        <v>286306.65000000002</v>
      </c>
      <c r="AB64" s="263"/>
      <c r="AC64" s="263"/>
      <c r="AD64" s="263"/>
      <c r="AE64" s="263"/>
      <c r="AF64" s="263"/>
      <c r="AG64" s="263"/>
      <c r="AH64" s="263"/>
    </row>
    <row r="65" spans="1:67" x14ac:dyDescent="0.25">
      <c r="A65" s="91" t="s">
        <v>348</v>
      </c>
      <c r="B65" s="91">
        <f>(100-B66)/100*AC24</f>
        <v>840</v>
      </c>
      <c r="C65" s="91">
        <f>(100-C66)/100*AD24</f>
        <v>5040</v>
      </c>
      <c r="D65" s="91">
        <f>(100-D66)/100*AE24</f>
        <v>5040</v>
      </c>
      <c r="E65" s="91">
        <f>(100-E66)/100*AF24</f>
        <v>5040</v>
      </c>
      <c r="F65" s="91"/>
      <c r="G65" s="91">
        <f>IF($G$57=1,B65,IF($G$57=2,C65,IF($G$57=3,D65,IF($G$57=4,E65,0))))</f>
        <v>840</v>
      </c>
      <c r="H65" s="92" t="s">
        <v>389</v>
      </c>
      <c r="I65" s="92">
        <f>IF(AC16-I59&gt;0,AC16-I59,0)</f>
        <v>15</v>
      </c>
      <c r="J65" s="154" t="s">
        <v>752</v>
      </c>
      <c r="K65" s="154">
        <f>'2020 Inc Statement'!E39</f>
        <v>-283849.64</v>
      </c>
      <c r="M65" s="78" t="s">
        <v>307</v>
      </c>
      <c r="N65" s="78" t="str">
        <f>IF($K$47=1,"",IF($K$47=2,N60,IF($K$47=3,N54,IF($K$47=4,N63,0))))</f>
        <v/>
      </c>
      <c r="O65" s="78" t="str">
        <f t="shared" ref="O65:X65" si="123">IF($K$47=1,"",IF($K$47=2,O60,IF($K$47=3,O54,IF($K$47=4,O63,0))))</f>
        <v/>
      </c>
      <c r="P65" s="78" t="str">
        <f t="shared" si="123"/>
        <v/>
      </c>
      <c r="Q65" s="78" t="str">
        <f t="shared" si="123"/>
        <v/>
      </c>
      <c r="R65" s="78" t="str">
        <f t="shared" si="123"/>
        <v/>
      </c>
      <c r="S65" s="78" t="str">
        <f t="shared" si="123"/>
        <v/>
      </c>
      <c r="T65" s="78" t="str">
        <f t="shared" si="123"/>
        <v/>
      </c>
      <c r="U65" s="78" t="str">
        <f t="shared" si="123"/>
        <v/>
      </c>
      <c r="V65" s="78" t="str">
        <f t="shared" si="123"/>
        <v/>
      </c>
      <c r="W65" s="78" t="str">
        <f t="shared" si="123"/>
        <v/>
      </c>
      <c r="X65" s="78" t="str">
        <f t="shared" si="123"/>
        <v/>
      </c>
      <c r="Y65" s="78" t="str">
        <f>IF($K$47=1,"",IF($K$47=2,Y60,IF($K$47=3,Y54,IF($K$47=4,Y63,0))))</f>
        <v/>
      </c>
      <c r="AB65" s="263" t="str">
        <f t="shared" ref="AB65:AM65" si="124">IF($K$47=1,"",IF($K$47=2,AB60,IF($K$47=3,AB54,IF($K$47=4,AB63,0))))</f>
        <v/>
      </c>
      <c r="AC65" s="263" t="str">
        <f t="shared" si="124"/>
        <v/>
      </c>
      <c r="AD65" s="263" t="str">
        <f t="shared" si="124"/>
        <v/>
      </c>
      <c r="AE65" s="263" t="str">
        <f t="shared" si="124"/>
        <v/>
      </c>
      <c r="AF65" s="263" t="str">
        <f t="shared" si="124"/>
        <v/>
      </c>
      <c r="AG65" s="263" t="str">
        <f t="shared" si="124"/>
        <v/>
      </c>
      <c r="AH65" s="263"/>
      <c r="AL65" s="78" t="str">
        <f>IF($K$47=1,"",IF($K$47=2,AL60,IF($K$47=3,AL54,IF($K$47=4,AL63,0))))</f>
        <v/>
      </c>
      <c r="AM65" s="78" t="str">
        <f t="shared" si="124"/>
        <v/>
      </c>
      <c r="AN65" s="78">
        <f>IF($G$57=1,0,IF($G$57=2,AN60,IF($G$57=3,AN54,IF($G$57=4,AN63,0))))</f>
        <v>0</v>
      </c>
      <c r="AO65" s="78">
        <f>IF($G$57=1,0,IF($G$57=2,AO60,IF($G$57=3,AO54,IF($G$57=4,AO63,0))))</f>
        <v>0</v>
      </c>
      <c r="AP65" s="78">
        <f>IF($G$57=1,0,IF($G$57=2,AP60,IF($G$57=3,AP54,IF($G$57=4,AP63,0))))</f>
        <v>0</v>
      </c>
      <c r="AQ65" s="78">
        <f>IF($G$57=1,0,IF($G$57=2,AQ60,IF($G$57=3,AQ54,IF($G$57=4,AQ63,0))))</f>
        <v>0</v>
      </c>
      <c r="BD65" s="78" t="s">
        <v>493</v>
      </c>
      <c r="BG65" s="78">
        <f t="shared" ref="BG65:BL65" si="125">IF($G$57=1,0,IF($G$57=2,BG60,IF($G$57=3,BG54,IF($G$57=4,BG63,0))))</f>
        <v>0</v>
      </c>
      <c r="BH65" s="78">
        <f t="shared" si="125"/>
        <v>0</v>
      </c>
      <c r="BI65" s="78">
        <f t="shared" si="125"/>
        <v>0</v>
      </c>
      <c r="BJ65" s="78">
        <f t="shared" si="125"/>
        <v>0</v>
      </c>
      <c r="BK65" s="78">
        <f t="shared" si="125"/>
        <v>0</v>
      </c>
      <c r="BL65" s="78">
        <f t="shared" si="125"/>
        <v>0</v>
      </c>
      <c r="BN65" s="78">
        <f>ROUND(SUM(BG65:BL65),2)</f>
        <v>0</v>
      </c>
      <c r="BO65" s="78" t="s">
        <v>498</v>
      </c>
    </row>
    <row r="66" spans="1:67" x14ac:dyDescent="0.25">
      <c r="A66" s="91" t="s">
        <v>360</v>
      </c>
      <c r="B66" s="91">
        <v>90</v>
      </c>
      <c r="C66" s="91">
        <v>40</v>
      </c>
      <c r="D66" s="91">
        <v>40</v>
      </c>
      <c r="E66" s="91">
        <v>40</v>
      </c>
      <c r="F66" s="91"/>
      <c r="G66" s="91">
        <f>IF($G$57=1,B66,IF($G$57=2,C66,IF($G$57=3,D66,IF($G$57=4,E66,0))))</f>
        <v>90</v>
      </c>
      <c r="H66" s="92" t="s">
        <v>489</v>
      </c>
      <c r="I66" s="92">
        <f>I62/2</f>
        <v>0</v>
      </c>
      <c r="J66" s="154" t="s">
        <v>754</v>
      </c>
      <c r="K66" s="154">
        <f>IF(OR(K64&gt;0,K65&gt;0),1,0)</f>
        <v>1</v>
      </c>
      <c r="AB66" s="263"/>
      <c r="AC66" s="263"/>
      <c r="AD66" s="263"/>
      <c r="AE66" s="263"/>
      <c r="AF66" s="263"/>
      <c r="AG66" s="263"/>
      <c r="AH66" s="263"/>
    </row>
    <row r="67" spans="1:67" x14ac:dyDescent="0.25">
      <c r="A67" s="77" t="s">
        <v>349</v>
      </c>
      <c r="B67" s="77" t="s">
        <v>350</v>
      </c>
      <c r="C67" s="77" t="s">
        <v>351</v>
      </c>
      <c r="D67" s="77" t="s">
        <v>353</v>
      </c>
      <c r="E67" s="77">
        <f>IF(D3=2,2,G67)</f>
        <v>2</v>
      </c>
      <c r="F67" s="77"/>
      <c r="G67" s="77">
        <v>2</v>
      </c>
      <c r="H67" s="154" t="s">
        <v>453</v>
      </c>
      <c r="I67" s="154">
        <f>IF('(HIDE) Data Validation'!B26=0,4+K68,0)</f>
        <v>0</v>
      </c>
      <c r="J67" s="311" t="s">
        <v>755</v>
      </c>
      <c r="K67" s="311">
        <v>0</v>
      </c>
      <c r="M67" s="78" t="s">
        <v>313</v>
      </c>
      <c r="N67" s="78">
        <f>ROUND(N62*0.004,0)</f>
        <v>244</v>
      </c>
      <c r="O67" s="78">
        <f t="shared" ref="O67:Y67" si="126">ROUND(O62*0.004,0)</f>
        <v>607</v>
      </c>
      <c r="P67" s="78">
        <f t="shared" si="126"/>
        <v>480</v>
      </c>
      <c r="Q67" s="78">
        <f t="shared" si="126"/>
        <v>719</v>
      </c>
      <c r="R67" s="78">
        <f t="shared" si="126"/>
        <v>856</v>
      </c>
      <c r="S67" s="78">
        <f t="shared" si="126"/>
        <v>715</v>
      </c>
      <c r="T67" s="78">
        <f>ROUND(T62*0.004,0)</f>
        <v>1005</v>
      </c>
      <c r="U67" s="78">
        <f t="shared" si="126"/>
        <v>1006</v>
      </c>
      <c r="V67" s="78">
        <f t="shared" si="126"/>
        <v>882</v>
      </c>
      <c r="W67" s="78">
        <f t="shared" si="126"/>
        <v>1138</v>
      </c>
      <c r="X67" s="78">
        <f t="shared" si="126"/>
        <v>1283</v>
      </c>
      <c r="Y67" s="78">
        <f t="shared" si="126"/>
        <v>1666</v>
      </c>
      <c r="AB67" s="263">
        <f>ROUND(AB62*0.004,0)</f>
        <v>1086</v>
      </c>
      <c r="AC67" s="263">
        <f t="shared" ref="AC67:AM67" si="127">ROUND(AC62*0.004,0)</f>
        <v>1161</v>
      </c>
      <c r="AD67" s="263">
        <f t="shared" si="127"/>
        <v>989</v>
      </c>
      <c r="AE67" s="263">
        <f t="shared" si="127"/>
        <v>1248</v>
      </c>
      <c r="AF67" s="263">
        <f t="shared" si="127"/>
        <v>1322</v>
      </c>
      <c r="AG67" s="263">
        <f>ROUND(AG62*0.004,0)</f>
        <v>1015</v>
      </c>
      <c r="AH67" s="263"/>
      <c r="AL67" s="78">
        <f t="shared" si="127"/>
        <v>1086</v>
      </c>
      <c r="AM67" s="78">
        <f t="shared" si="127"/>
        <v>1161</v>
      </c>
      <c r="AN67" s="78">
        <f>ROUND(AN62*0.004,0)</f>
        <v>0</v>
      </c>
      <c r="AO67" s="78">
        <f>ROUND(AO62*0.004,0)</f>
        <v>0</v>
      </c>
      <c r="AP67" s="78">
        <f>ROUND(AP62*0.004,0)</f>
        <v>0</v>
      </c>
      <c r="AQ67" s="78">
        <f>ROUND(AQ62*0.004,0)</f>
        <v>0</v>
      </c>
      <c r="BD67" s="78" t="s">
        <v>313</v>
      </c>
      <c r="BG67" s="78">
        <f t="shared" ref="BG67:BL67" si="128">ROUND(BG62*0.004,0)</f>
        <v>0</v>
      </c>
      <c r="BH67" s="78">
        <f t="shared" si="128"/>
        <v>0</v>
      </c>
      <c r="BI67" s="78">
        <f t="shared" si="128"/>
        <v>0</v>
      </c>
      <c r="BJ67" s="78">
        <f t="shared" si="128"/>
        <v>0</v>
      </c>
      <c r="BK67" s="78">
        <f t="shared" si="128"/>
        <v>0</v>
      </c>
      <c r="BL67" s="78">
        <f t="shared" si="128"/>
        <v>0</v>
      </c>
      <c r="BM67" s="78" t="s">
        <v>699</v>
      </c>
      <c r="BN67" s="78">
        <f>SUM(AL67:AQ67)+SUM(BG67:BL67)</f>
        <v>2247</v>
      </c>
    </row>
    <row r="68" spans="1:67" x14ac:dyDescent="0.25">
      <c r="A68" s="77" t="s">
        <v>359</v>
      </c>
      <c r="B68" s="77">
        <v>0.05</v>
      </c>
      <c r="C68" s="77">
        <v>0</v>
      </c>
      <c r="D68" s="77">
        <f>IF($E$67=1,B68,C68)</f>
        <v>0</v>
      </c>
      <c r="E68" s="77" t="s">
        <v>501</v>
      </c>
      <c r="F68" s="77"/>
      <c r="G68" s="77">
        <f>IF($G$67=1,B68,C68)</f>
        <v>0</v>
      </c>
      <c r="H68" s="154" t="s">
        <v>454</v>
      </c>
      <c r="I68" s="154">
        <f>(E144+H144)/2</f>
        <v>0</v>
      </c>
      <c r="J68" s="154" t="s">
        <v>753</v>
      </c>
      <c r="K68" s="154">
        <f>IF(K67=0,IF('(HIDE) Data Validation'!B26=0,1,0),K66)</f>
        <v>0</v>
      </c>
      <c r="BN68" s="78">
        <f>BN67+AW89</f>
        <v>2247</v>
      </c>
    </row>
    <row r="69" spans="1:67" x14ac:dyDescent="0.25">
      <c r="A69" s="77" t="s">
        <v>134</v>
      </c>
      <c r="B69" s="77">
        <f>AC24</f>
        <v>8400</v>
      </c>
      <c r="C69" s="77">
        <f>G65</f>
        <v>840</v>
      </c>
      <c r="D69" s="77">
        <f>IF($E$67=1,B69,C69)</f>
        <v>840</v>
      </c>
      <c r="E69" s="77"/>
      <c r="F69" s="77"/>
      <c r="G69" s="77"/>
      <c r="H69" s="154" t="s">
        <v>452</v>
      </c>
      <c r="I69" s="78">
        <f>(I67+I68)</f>
        <v>0</v>
      </c>
      <c r="J69" s="78">
        <f>(I67+I68)*10</f>
        <v>0</v>
      </c>
      <c r="AR69" s="78">
        <f>IF(AR7=0,AM15*0.3,(AQ15+AQ17)*0.3)</f>
        <v>82860</v>
      </c>
    </row>
    <row r="70" spans="1:67" x14ac:dyDescent="0.25">
      <c r="A70" s="77" t="s">
        <v>347</v>
      </c>
      <c r="B70" s="77">
        <f>J3</f>
        <v>5000</v>
      </c>
      <c r="C70" s="77">
        <f>G61</f>
        <v>0</v>
      </c>
      <c r="D70" s="77">
        <f>IF($E$67=1,B70,C70)</f>
        <v>0</v>
      </c>
      <c r="E70" s="77"/>
      <c r="F70" s="77"/>
      <c r="G70" s="77"/>
      <c r="H70" s="154" t="s">
        <v>502</v>
      </c>
      <c r="I70" s="154">
        <f>IF(I69&lt;100,0,LEFT(I69,1))</f>
        <v>0</v>
      </c>
      <c r="J70" s="78">
        <f>I70*100000000000</f>
        <v>0</v>
      </c>
      <c r="M70" s="78" t="s">
        <v>579</v>
      </c>
      <c r="AR70" s="78">
        <f>IF(AR7=0,AM29*0.3,(AQ28+AQ30)*0.3)</f>
        <v>16814.399999999998</v>
      </c>
    </row>
    <row r="71" spans="1:67" x14ac:dyDescent="0.25">
      <c r="A71" s="77"/>
      <c r="B71" s="77"/>
      <c r="C71" s="77"/>
      <c r="D71" s="77"/>
      <c r="E71" s="77"/>
      <c r="F71" s="77"/>
      <c r="G71" s="77"/>
      <c r="H71" s="78" t="s">
        <v>503</v>
      </c>
      <c r="I71" s="78" t="str">
        <f>RIGHT(I69*10,2)</f>
        <v>0</v>
      </c>
      <c r="J71" s="78">
        <f>ROUND(I71,1)</f>
        <v>0</v>
      </c>
      <c r="M71" s="78" t="s">
        <v>576</v>
      </c>
      <c r="N71" s="78">
        <f>N15*0.3</f>
        <v>18294</v>
      </c>
      <c r="O71" s="78">
        <f t="shared" ref="O71:Y71" si="129">O15*0.3</f>
        <v>32247</v>
      </c>
      <c r="P71" s="78">
        <f t="shared" si="129"/>
        <v>35976</v>
      </c>
      <c r="Q71" s="78">
        <f t="shared" si="129"/>
        <v>53904</v>
      </c>
      <c r="R71" s="78">
        <f t="shared" si="129"/>
        <v>64197</v>
      </c>
      <c r="S71" s="78">
        <f t="shared" si="129"/>
        <v>53601</v>
      </c>
      <c r="T71" s="78">
        <f t="shared" si="129"/>
        <v>71748</v>
      </c>
      <c r="U71" s="78">
        <f t="shared" si="129"/>
        <v>71814</v>
      </c>
      <c r="V71" s="78">
        <f t="shared" si="129"/>
        <v>62967</v>
      </c>
      <c r="W71" s="78">
        <f t="shared" si="129"/>
        <v>81231</v>
      </c>
      <c r="X71" s="78">
        <f t="shared" si="129"/>
        <v>91602</v>
      </c>
      <c r="Y71" s="78">
        <f t="shared" si="129"/>
        <v>118902</v>
      </c>
      <c r="AJ71" s="78" t="s">
        <v>576</v>
      </c>
      <c r="AL71" s="77">
        <f>Y15*0.3</f>
        <v>118902</v>
      </c>
      <c r="AM71" s="77">
        <f>AL15*0.3</f>
        <v>77523</v>
      </c>
      <c r="AN71" s="77">
        <f>IF(AR7=0,0,AM15*0.3)</f>
        <v>0</v>
      </c>
      <c r="AO71" s="77">
        <f>(AN15+AN17)*0.3</f>
        <v>0</v>
      </c>
      <c r="AP71" s="77">
        <f>(AO15+AO17)*0.3</f>
        <v>0</v>
      </c>
      <c r="AQ71" s="77">
        <f>(AP15+AP17)*0.3</f>
        <v>0</v>
      </c>
      <c r="AR71" s="78">
        <f t="shared" ref="AR71:AW71" si="130">(BG11+BG13+BG15)*0.3</f>
        <v>0</v>
      </c>
      <c r="AS71" s="78">
        <f t="shared" si="130"/>
        <v>0</v>
      </c>
      <c r="AT71" s="78">
        <f t="shared" si="130"/>
        <v>0</v>
      </c>
      <c r="AU71" s="78">
        <f t="shared" si="130"/>
        <v>0</v>
      </c>
      <c r="AV71" s="78">
        <f t="shared" si="130"/>
        <v>0</v>
      </c>
      <c r="AW71" s="78">
        <f t="shared" si="130"/>
        <v>0</v>
      </c>
    </row>
    <row r="72" spans="1:67" x14ac:dyDescent="0.25">
      <c r="A72" s="86" t="s">
        <v>352</v>
      </c>
      <c r="B72" s="86" t="s">
        <v>351</v>
      </c>
      <c r="C72" s="86" t="s">
        <v>350</v>
      </c>
      <c r="D72" s="86"/>
      <c r="E72" s="86"/>
      <c r="F72" s="86"/>
      <c r="G72" s="86">
        <v>1</v>
      </c>
      <c r="H72" s="78" t="s">
        <v>504</v>
      </c>
      <c r="I72" s="163" t="str">
        <f>RIGHT(Employment!F22,1)</f>
        <v>5</v>
      </c>
      <c r="J72" s="78">
        <f>I72*100</f>
        <v>500</v>
      </c>
      <c r="M72" s="78" t="s">
        <v>577</v>
      </c>
      <c r="T72" s="78">
        <f t="shared" ref="T72:Y72" si="131">T29*0.3</f>
        <v>14559.6</v>
      </c>
      <c r="U72" s="78">
        <f t="shared" si="131"/>
        <v>14572.8</v>
      </c>
      <c r="V72" s="78">
        <f t="shared" si="131"/>
        <v>12777.6</v>
      </c>
      <c r="W72" s="78">
        <f t="shared" si="131"/>
        <v>16483.2</v>
      </c>
      <c r="X72" s="78">
        <f t="shared" si="131"/>
        <v>18588</v>
      </c>
      <c r="Y72" s="78">
        <f t="shared" si="131"/>
        <v>24127.200000000001</v>
      </c>
      <c r="AJ72" s="78" t="s">
        <v>577</v>
      </c>
      <c r="AL72" s="78">
        <f>Y29*0.3</f>
        <v>24127.200000000001</v>
      </c>
      <c r="AM72" s="78">
        <f>AL29*0.3</f>
        <v>15730.8</v>
      </c>
      <c r="AN72" s="78">
        <f>IF(AR7=0,0,AM29*0.3)</f>
        <v>0</v>
      </c>
      <c r="AO72" s="78">
        <f>(AN28+AN30)*0.3</f>
        <v>0</v>
      </c>
      <c r="AP72" s="78">
        <f>(AO28+AO30)*0.3</f>
        <v>0</v>
      </c>
      <c r="AQ72" s="78">
        <f>(AP28+AP30)*0.3</f>
        <v>0</v>
      </c>
      <c r="AR72" s="78">
        <f t="shared" ref="AR72:AW72" si="132">(BG26+BG28+BG30)*0.3</f>
        <v>0</v>
      </c>
      <c r="AS72" s="78">
        <f t="shared" si="132"/>
        <v>0</v>
      </c>
      <c r="AT72" s="78">
        <f t="shared" si="132"/>
        <v>0</v>
      </c>
      <c r="AU72" s="78">
        <f t="shared" si="132"/>
        <v>0</v>
      </c>
      <c r="AV72" s="78">
        <f t="shared" si="132"/>
        <v>0</v>
      </c>
      <c r="AW72" s="78">
        <f t="shared" si="132"/>
        <v>0</v>
      </c>
    </row>
    <row r="73" spans="1:67" x14ac:dyDescent="0.25">
      <c r="A73" s="86" t="s">
        <v>356</v>
      </c>
      <c r="B73" s="86">
        <v>1</v>
      </c>
      <c r="C73" s="86">
        <v>0.8</v>
      </c>
      <c r="D73" s="86">
        <f>IF($G$72=1,B73,C73)</f>
        <v>1</v>
      </c>
      <c r="E73" s="86" t="s">
        <v>424</v>
      </c>
      <c r="F73" s="86"/>
      <c r="G73" s="86">
        <v>0.03</v>
      </c>
      <c r="H73" s="78" t="s">
        <v>505</v>
      </c>
      <c r="I73" s="78">
        <f>A3</f>
        <v>1</v>
      </c>
      <c r="J73" s="78">
        <f>I73*100000000</f>
        <v>100000000</v>
      </c>
      <c r="M73" s="78" t="s">
        <v>578</v>
      </c>
      <c r="N73" s="78">
        <f>SUM(N71:N72)</f>
        <v>18294</v>
      </c>
      <c r="O73" s="78">
        <f t="shared" ref="O73:Y73" si="133">SUM(O71:O72)</f>
        <v>32247</v>
      </c>
      <c r="P73" s="78">
        <f t="shared" si="133"/>
        <v>35976</v>
      </c>
      <c r="Q73" s="78">
        <f t="shared" si="133"/>
        <v>53904</v>
      </c>
      <c r="R73" s="78">
        <f t="shared" si="133"/>
        <v>64197</v>
      </c>
      <c r="S73" s="78">
        <f t="shared" si="133"/>
        <v>53601</v>
      </c>
      <c r="T73" s="78">
        <f t="shared" si="133"/>
        <v>86307.6</v>
      </c>
      <c r="U73" s="78">
        <f t="shared" si="133"/>
        <v>86386.8</v>
      </c>
      <c r="V73" s="78">
        <f t="shared" si="133"/>
        <v>75744.600000000006</v>
      </c>
      <c r="W73" s="78">
        <f t="shared" si="133"/>
        <v>97714.2</v>
      </c>
      <c r="X73" s="78">
        <f t="shared" si="133"/>
        <v>110190</v>
      </c>
      <c r="Y73" s="78">
        <f t="shared" si="133"/>
        <v>143029.20000000001</v>
      </c>
      <c r="AJ73" s="78" t="s">
        <v>578</v>
      </c>
      <c r="AL73" s="78">
        <f>SUM(AL71:AL72)</f>
        <v>143029.20000000001</v>
      </c>
      <c r="AM73" s="78">
        <f t="shared" ref="AM73:AQ73" si="134">SUM(AM71:AM72)</f>
        <v>93253.8</v>
      </c>
      <c r="AN73" s="78">
        <f t="shared" si="134"/>
        <v>0</v>
      </c>
      <c r="AO73" s="78">
        <f t="shared" si="134"/>
        <v>0</v>
      </c>
      <c r="AP73" s="78">
        <f t="shared" si="134"/>
        <v>0</v>
      </c>
      <c r="AQ73" s="78">
        <f t="shared" si="134"/>
        <v>0</v>
      </c>
      <c r="AR73" s="78">
        <f t="shared" ref="AR73:AW73" si="135">SUM(AR71:AR72)</f>
        <v>0</v>
      </c>
      <c r="AS73" s="78">
        <f t="shared" si="135"/>
        <v>0</v>
      </c>
      <c r="AT73" s="78">
        <f t="shared" si="135"/>
        <v>0</v>
      </c>
      <c r="AU73" s="78">
        <f t="shared" si="135"/>
        <v>0</v>
      </c>
      <c r="AV73" s="78">
        <f t="shared" si="135"/>
        <v>0</v>
      </c>
      <c r="AW73" s="78">
        <f t="shared" si="135"/>
        <v>0</v>
      </c>
    </row>
    <row r="74" spans="1:67" x14ac:dyDescent="0.25">
      <c r="A74" s="86" t="s">
        <v>358</v>
      </c>
      <c r="B74" s="86">
        <f>G60</f>
        <v>0</v>
      </c>
      <c r="C74" s="86">
        <f>IF(G60=0,0,G60+G73)</f>
        <v>0</v>
      </c>
      <c r="D74" s="86">
        <f>IF($G$72=1,B74,C74)</f>
        <v>0</v>
      </c>
      <c r="E74" s="86"/>
      <c r="F74" s="86"/>
      <c r="G74" s="86"/>
      <c r="H74" s="78" t="s">
        <v>443</v>
      </c>
      <c r="I74" s="78">
        <f>B51</f>
        <v>0</v>
      </c>
      <c r="J74" s="78">
        <f>I74*1000</f>
        <v>0</v>
      </c>
      <c r="M74" s="78" t="s">
        <v>580</v>
      </c>
      <c r="AG74" s="78" t="s">
        <v>696</v>
      </c>
      <c r="AH74" s="78" t="s">
        <v>695</v>
      </c>
      <c r="AI74" s="78" t="s">
        <v>113</v>
      </c>
      <c r="AJ74" s="78">
        <f>M85</f>
        <v>110190</v>
      </c>
      <c r="AK74" s="181">
        <f>Z85</f>
        <v>33057</v>
      </c>
    </row>
    <row r="75" spans="1:67" x14ac:dyDescent="0.25">
      <c r="A75" s="86" t="s">
        <v>357</v>
      </c>
      <c r="B75" s="86">
        <f>D68</f>
        <v>0</v>
      </c>
      <c r="C75" s="86">
        <f>IF(D68=0,0,B68+G73)</f>
        <v>0</v>
      </c>
      <c r="D75" s="86">
        <f>IF($G$72=1,B75,C75)</f>
        <v>0</v>
      </c>
      <c r="E75" s="86" t="s">
        <v>501</v>
      </c>
      <c r="F75" s="86"/>
      <c r="G75" s="86">
        <f>IF($G$72=1,G68,IF(G68=0,0,B68+G73))</f>
        <v>0</v>
      </c>
      <c r="H75" s="78" t="s">
        <v>506</v>
      </c>
      <c r="I75" s="78" t="str">
        <f>LEFT(G3,1)</f>
        <v>4</v>
      </c>
      <c r="J75" s="78">
        <f>I75*10000000000</f>
        <v>40000000000</v>
      </c>
      <c r="L75" s="78" t="s">
        <v>103</v>
      </c>
      <c r="M75" s="78">
        <f>N73</f>
        <v>18294</v>
      </c>
      <c r="N75" s="181">
        <f>ROUND(0.2*M75,2)</f>
        <v>3658.8</v>
      </c>
      <c r="O75" s="181">
        <f>ROUND(0.5*M75,2)</f>
        <v>9147</v>
      </c>
      <c r="P75" s="181">
        <f>M75-N75-O75</f>
        <v>5488.2000000000007</v>
      </c>
      <c r="AI75" s="78" t="s">
        <v>114</v>
      </c>
      <c r="AJ75" s="78">
        <f>M86</f>
        <v>143029.20000000001</v>
      </c>
      <c r="AK75" s="181">
        <f>Z86</f>
        <v>71514.600000000006</v>
      </c>
      <c r="AL75" s="181">
        <f>AA86</f>
        <v>42908.760000000009</v>
      </c>
    </row>
    <row r="76" spans="1:67" x14ac:dyDescent="0.25">
      <c r="A76" s="86" t="s">
        <v>367</v>
      </c>
      <c r="B76" s="86">
        <f>D45</f>
        <v>0.50730384140079221</v>
      </c>
      <c r="C76" s="86">
        <v>1</v>
      </c>
      <c r="D76" s="86">
        <f>IF($G$72=1,B76,C76)</f>
        <v>0.50730384140079221</v>
      </c>
      <c r="E76" s="86">
        <f>ROUND(D76*100,2)</f>
        <v>50.73</v>
      </c>
      <c r="F76" s="86"/>
      <c r="G76" s="86"/>
      <c r="H76" s="78" t="s">
        <v>507</v>
      </c>
      <c r="I76" s="78">
        <f ca="1">INT(RAND()*10)</f>
        <v>4</v>
      </c>
      <c r="J76" s="78">
        <f ca="1">I76*1000000</f>
        <v>4000000</v>
      </c>
      <c r="L76" s="78" t="s">
        <v>104</v>
      </c>
      <c r="M76" s="78">
        <f>O73</f>
        <v>32247</v>
      </c>
      <c r="O76" s="181">
        <f>ROUND(0.2*M76,2)</f>
        <v>6449.4</v>
      </c>
      <c r="P76" s="181">
        <f>ROUND(0.5*M76,2)</f>
        <v>16123.5</v>
      </c>
      <c r="Q76" s="181">
        <f>M76-O76-P76</f>
        <v>9674.0999999999985</v>
      </c>
      <c r="AI76" s="78" t="s">
        <v>103</v>
      </c>
      <c r="AJ76" s="78">
        <f>AL73</f>
        <v>143029.20000000001</v>
      </c>
      <c r="AK76" s="181">
        <f>ROUND(0.2*AJ76,2)</f>
        <v>28605.84</v>
      </c>
      <c r="AL76" s="181">
        <f>ROUND(0.5*AJ76,2)</f>
        <v>71514.600000000006</v>
      </c>
      <c r="AM76" s="181">
        <f>AJ76-AK76-AL76</f>
        <v>42908.760000000009</v>
      </c>
    </row>
    <row r="77" spans="1:67" x14ac:dyDescent="0.25">
      <c r="A77" s="86" t="s">
        <v>368</v>
      </c>
      <c r="B77" s="86">
        <f>D43</f>
        <v>4</v>
      </c>
      <c r="C77" s="86">
        <v>3</v>
      </c>
      <c r="D77" s="86">
        <f>IF($G$72=1,B77,C77)</f>
        <v>4</v>
      </c>
      <c r="E77" s="86"/>
      <c r="F77" s="86"/>
      <c r="G77" s="86"/>
      <c r="H77" s="78" t="s">
        <v>508</v>
      </c>
      <c r="I77" s="78" t="str">
        <f>LEFT(2+ABS(SUM('2019 Ratio Analysis'!E5:E21)),1)</f>
        <v>2</v>
      </c>
      <c r="J77" s="78">
        <f>I77*100000</f>
        <v>200000</v>
      </c>
      <c r="L77" s="78" t="s">
        <v>105</v>
      </c>
      <c r="M77" s="78">
        <f>P73</f>
        <v>35976</v>
      </c>
      <c r="P77" s="181">
        <f>ROUND(0.2*M77,2)</f>
        <v>7195.2</v>
      </c>
      <c r="Q77" s="181">
        <f>ROUND(0.5*M77,2)</f>
        <v>17988</v>
      </c>
      <c r="R77" s="181">
        <f>M77-P77-Q77</f>
        <v>10792.8</v>
      </c>
      <c r="AI77" s="78" t="s">
        <v>104</v>
      </c>
      <c r="AJ77" s="78">
        <f>AM73</f>
        <v>93253.8</v>
      </c>
      <c r="AL77" s="181">
        <f>ROUND(0.2*AJ77,2)</f>
        <v>18650.759999999998</v>
      </c>
      <c r="AM77" s="181">
        <f>ROUND(0.5*AJ77,2)</f>
        <v>46626.9</v>
      </c>
      <c r="AN77" s="181">
        <f>AJ77-AL77-AM77</f>
        <v>27976.140000000007</v>
      </c>
    </row>
    <row r="78" spans="1:67" x14ac:dyDescent="0.25">
      <c r="H78" s="78" t="s">
        <v>509</v>
      </c>
      <c r="I78" s="78" t="str">
        <f>RIGHT(ABS(SUM('2020 Ratio Analysis'!E5:E21)),1)</f>
        <v>0</v>
      </c>
      <c r="J78" s="78">
        <f>I78*10000000</f>
        <v>0</v>
      </c>
      <c r="L78" s="78" t="s">
        <v>107</v>
      </c>
      <c r="M78" s="78">
        <f>Q73</f>
        <v>53904</v>
      </c>
      <c r="Q78" s="181">
        <f>ROUND(0.2*M78,2)</f>
        <v>10780.8</v>
      </c>
      <c r="R78" s="181">
        <f>ROUND(0.5*M78,2)</f>
        <v>26952</v>
      </c>
      <c r="S78" s="181">
        <f>M78-Q78-R78</f>
        <v>16171.199999999997</v>
      </c>
      <c r="AI78" s="78" t="s">
        <v>105</v>
      </c>
      <c r="AJ78" s="78">
        <f>AN73</f>
        <v>0</v>
      </c>
      <c r="AM78" s="181">
        <f>ROUND(0.2*AJ78,2)</f>
        <v>0</v>
      </c>
      <c r="AN78" s="181">
        <f>ROUND(0.5*AJ78,2)</f>
        <v>0</v>
      </c>
      <c r="AO78" s="181">
        <f>AJ78-AM78-AN78</f>
        <v>0</v>
      </c>
    </row>
    <row r="79" spans="1:67" x14ac:dyDescent="0.25">
      <c r="A79" s="155" t="s">
        <v>433</v>
      </c>
      <c r="B79" s="155"/>
      <c r="C79" s="155"/>
      <c r="D79" s="155"/>
      <c r="E79" s="155"/>
      <c r="F79" s="155"/>
      <c r="H79" s="78" t="s">
        <v>510</v>
      </c>
      <c r="I79" s="78">
        <f ca="1">INT(RAND()*10)</f>
        <v>4</v>
      </c>
      <c r="J79" s="78">
        <f ca="1">I79*10000</f>
        <v>40000</v>
      </c>
      <c r="L79" s="78" t="s">
        <v>5</v>
      </c>
      <c r="M79" s="78">
        <f>R73</f>
        <v>64197</v>
      </c>
      <c r="R79" s="181">
        <f>ROUND(0.2*M79,2)</f>
        <v>12839.4</v>
      </c>
      <c r="S79" s="181">
        <f>ROUND(0.5*M79,2)</f>
        <v>32098.5</v>
      </c>
      <c r="T79" s="181">
        <f>M79-R79-S79</f>
        <v>19259.099999999999</v>
      </c>
      <c r="AI79" s="78" t="s">
        <v>107</v>
      </c>
      <c r="AJ79" s="78">
        <f>AO73</f>
        <v>0</v>
      </c>
      <c r="AN79" s="181">
        <f>ROUND(0.2*AJ79,2)</f>
        <v>0</v>
      </c>
      <c r="AO79" s="181">
        <f>ROUND(0.5*AJ79,2)</f>
        <v>0</v>
      </c>
      <c r="AP79" s="181">
        <f>AJ79-AN79-AO79</f>
        <v>0</v>
      </c>
    </row>
    <row r="80" spans="1:67" x14ac:dyDescent="0.25">
      <c r="A80" s="155">
        <v>2019</v>
      </c>
      <c r="B80" s="155"/>
      <c r="C80" s="155"/>
      <c r="D80" s="155"/>
      <c r="E80" s="155"/>
      <c r="F80" s="155"/>
      <c r="H80" s="78" t="s">
        <v>511</v>
      </c>
      <c r="I80" s="78">
        <f ca="1">INT(RAND()*10)</f>
        <v>1</v>
      </c>
      <c r="J80" s="78">
        <f ca="1">I80*1000000000</f>
        <v>1000000000</v>
      </c>
      <c r="L80" s="78" t="s">
        <v>108</v>
      </c>
      <c r="M80" s="78">
        <f>S73</f>
        <v>53601</v>
      </c>
      <c r="S80" s="181">
        <f>ROUND(0.2*M80,2)</f>
        <v>10720.2</v>
      </c>
      <c r="T80" s="181">
        <f>ROUND(0.5*M80,2)</f>
        <v>26800.5</v>
      </c>
      <c r="U80" s="181">
        <f>M80-S80-T80</f>
        <v>16080.300000000003</v>
      </c>
      <c r="AI80" s="78" t="s">
        <v>5</v>
      </c>
      <c r="AJ80" s="78">
        <f>AP73</f>
        <v>0</v>
      </c>
      <c r="AO80" s="181">
        <f>ROUND(0.2*AJ80,2)</f>
        <v>0</v>
      </c>
      <c r="AP80" s="181">
        <f>ROUND(0.5*AJ80,2)</f>
        <v>0</v>
      </c>
      <c r="AQ80" s="181">
        <f>AJ80-AO80-AP80</f>
        <v>0</v>
      </c>
    </row>
    <row r="81" spans="1:53" x14ac:dyDescent="0.25">
      <c r="A81" s="155" t="s">
        <v>434</v>
      </c>
      <c r="B81" s="155"/>
      <c r="C81" s="155"/>
      <c r="D81" s="155" t="s">
        <v>437</v>
      </c>
      <c r="E81" s="155"/>
      <c r="F81" s="155"/>
      <c r="J81" s="163">
        <f ca="1">SUM(J70:J80)</f>
        <v>41104240500</v>
      </c>
      <c r="L81" s="78" t="s">
        <v>109</v>
      </c>
      <c r="M81" s="78">
        <f>T73</f>
        <v>86307.6</v>
      </c>
      <c r="T81" s="181">
        <f>ROUND(0.2*M81,2)</f>
        <v>17261.52</v>
      </c>
      <c r="U81" s="181">
        <f>ROUND(0.5*M81,2)</f>
        <v>43153.8</v>
      </c>
      <c r="V81" s="181">
        <f>M81-T81-U81</f>
        <v>25892.28</v>
      </c>
      <c r="AI81" s="78" t="s">
        <v>108</v>
      </c>
      <c r="AJ81" s="78">
        <f>AQ73</f>
        <v>0</v>
      </c>
      <c r="AP81" s="181">
        <f>ROUND(0.2*AJ81,2)</f>
        <v>0</v>
      </c>
      <c r="AQ81" s="181">
        <f>ROUND(0.5*AJ81,2)</f>
        <v>0</v>
      </c>
      <c r="AR81" s="181">
        <f>AJ81-AP81-AQ81</f>
        <v>0</v>
      </c>
    </row>
    <row r="82" spans="1:53" x14ac:dyDescent="0.25">
      <c r="A82" s="155" t="s">
        <v>79</v>
      </c>
      <c r="B82" s="156">
        <f>E4</f>
        <v>10</v>
      </c>
      <c r="C82" s="155"/>
      <c r="D82" s="155" t="s">
        <v>438</v>
      </c>
      <c r="E82" s="157">
        <f>D21</f>
        <v>0</v>
      </c>
      <c r="F82" s="157"/>
      <c r="L82" s="78" t="s">
        <v>110</v>
      </c>
      <c r="M82" s="78">
        <f>U73</f>
        <v>86386.8</v>
      </c>
      <c r="U82" s="181">
        <f>ROUND(0.2*M82,2)</f>
        <v>17277.36</v>
      </c>
      <c r="V82" s="181">
        <f>ROUND(0.5*M82,2)</f>
        <v>43193.4</v>
      </c>
      <c r="W82" s="181">
        <f>M82-U82-V82</f>
        <v>25916.04</v>
      </c>
      <c r="AI82" s="78" t="s">
        <v>109</v>
      </c>
      <c r="AJ82" s="78">
        <f>AR73</f>
        <v>0</v>
      </c>
      <c r="AQ82" s="181">
        <f>ROUND(0.2*AJ82,2)</f>
        <v>0</v>
      </c>
      <c r="AR82" s="181">
        <f>ROUND(0.5*AJ82,2)</f>
        <v>0</v>
      </c>
      <c r="AS82" s="181">
        <f>AJ82-AQ82-AR82</f>
        <v>0</v>
      </c>
    </row>
    <row r="83" spans="1:53" x14ac:dyDescent="0.25">
      <c r="A83" s="155" t="s">
        <v>435</v>
      </c>
      <c r="B83" s="156">
        <f>G4</f>
        <v>4</v>
      </c>
      <c r="C83" s="155"/>
      <c r="D83" s="155" t="s">
        <v>153</v>
      </c>
      <c r="E83" s="157">
        <f>D20</f>
        <v>50000</v>
      </c>
      <c r="F83" s="157"/>
      <c r="L83" s="78" t="s">
        <v>111</v>
      </c>
      <c r="M83" s="78">
        <f>V73</f>
        <v>75744.600000000006</v>
      </c>
      <c r="V83" s="181">
        <f>ROUND(0.2*M83,2)</f>
        <v>15148.92</v>
      </c>
      <c r="W83" s="181">
        <f>ROUND(0.5*M83,2)</f>
        <v>37872.300000000003</v>
      </c>
      <c r="X83" s="181">
        <f>M83-V83-W83</f>
        <v>22723.380000000005</v>
      </c>
      <c r="AI83" s="78" t="s">
        <v>110</v>
      </c>
      <c r="AJ83" s="78">
        <f>AS73</f>
        <v>0</v>
      </c>
      <c r="AR83" s="181">
        <f>ROUND(0.2*AJ83,2)</f>
        <v>0</v>
      </c>
      <c r="AS83" s="181">
        <f>ROUND(0.5*AJ83,2)</f>
        <v>0</v>
      </c>
      <c r="AT83" s="181">
        <f>AJ83-AR83-AS83</f>
        <v>0</v>
      </c>
    </row>
    <row r="84" spans="1:53" x14ac:dyDescent="0.25">
      <c r="A84" s="155" t="s">
        <v>436</v>
      </c>
      <c r="B84" s="156">
        <f>B82-B83</f>
        <v>6</v>
      </c>
      <c r="C84" s="155"/>
      <c r="D84" s="155" t="s">
        <v>439</v>
      </c>
      <c r="E84" s="157">
        <f>D19</f>
        <v>100000</v>
      </c>
      <c r="F84" s="157"/>
      <c r="L84" s="78" t="s">
        <v>112</v>
      </c>
      <c r="M84" s="78">
        <f>W73</f>
        <v>97714.2</v>
      </c>
      <c r="W84" s="181">
        <f>ROUND(0.2*M84,2)</f>
        <v>19542.84</v>
      </c>
      <c r="X84" s="181">
        <f>ROUND(0.5*M84,2)</f>
        <v>48857.1</v>
      </c>
      <c r="Y84" s="181">
        <f>M84-W84-X84</f>
        <v>29314.260000000002</v>
      </c>
      <c r="AI84" s="78" t="s">
        <v>111</v>
      </c>
      <c r="AJ84" s="78">
        <f>AT73</f>
        <v>0</v>
      </c>
      <c r="AS84" s="181">
        <f>ROUND(0.2*AJ84,2)</f>
        <v>0</v>
      </c>
      <c r="AT84" s="181">
        <f>ROUND(0.5*AJ84,2)</f>
        <v>0</v>
      </c>
      <c r="AU84" s="181">
        <f>AJ84-AS84-AT84</f>
        <v>0</v>
      </c>
    </row>
    <row r="85" spans="1:53" x14ac:dyDescent="0.25">
      <c r="A85" s="155"/>
      <c r="B85" s="155"/>
      <c r="C85" s="155"/>
      <c r="D85" s="155" t="s">
        <v>440</v>
      </c>
      <c r="E85" s="157">
        <f>B26</f>
        <v>275865</v>
      </c>
      <c r="F85" s="157"/>
      <c r="L85" s="78" t="s">
        <v>113</v>
      </c>
      <c r="M85" s="78">
        <f>X73</f>
        <v>110190</v>
      </c>
      <c r="X85" s="181">
        <f>ROUND(0.2*M85,2)</f>
        <v>22038</v>
      </c>
      <c r="Y85" s="181">
        <f>ROUND(0.5*M85,2)</f>
        <v>55095</v>
      </c>
      <c r="Z85" s="181">
        <f>M85-X85-Y85</f>
        <v>33057</v>
      </c>
      <c r="AI85" s="78" t="s">
        <v>112</v>
      </c>
      <c r="AJ85" s="78">
        <f>AU73</f>
        <v>0</v>
      </c>
      <c r="AT85" s="181">
        <f>ROUND(0.2*AJ85,2)</f>
        <v>0</v>
      </c>
      <c r="AU85" s="181">
        <f>ROUND(0.5*AJ85,2)</f>
        <v>0</v>
      </c>
      <c r="AV85" s="181">
        <f>AJ85-AT85-AU85</f>
        <v>0</v>
      </c>
    </row>
    <row r="86" spans="1:53" x14ac:dyDescent="0.25">
      <c r="L86" s="78" t="s">
        <v>114</v>
      </c>
      <c r="M86" s="78">
        <f>Y73</f>
        <v>143029.20000000001</v>
      </c>
      <c r="Y86" s="181">
        <f>ROUND(0.2*M86,2)</f>
        <v>28605.84</v>
      </c>
      <c r="Z86" s="181">
        <f>ROUND(0.5*M86,2)</f>
        <v>71514.600000000006</v>
      </c>
      <c r="AA86" s="181">
        <f>M86-Y86-Z86</f>
        <v>42908.760000000009</v>
      </c>
      <c r="AI86" s="78" t="s">
        <v>113</v>
      </c>
      <c r="AJ86" s="78">
        <f>AV73</f>
        <v>0</v>
      </c>
      <c r="AU86" s="181">
        <f>ROUND(0.2*AJ86,2)</f>
        <v>0</v>
      </c>
      <c r="AV86" s="181">
        <f>ROUND(0.5*AJ86,2)</f>
        <v>0</v>
      </c>
      <c r="AW86" s="181">
        <f>AJ86-AU86-AV86</f>
        <v>0</v>
      </c>
    </row>
    <row r="87" spans="1:53" x14ac:dyDescent="0.25">
      <c r="A87" s="161" t="s">
        <v>472</v>
      </c>
      <c r="B87" s="161"/>
      <c r="C87" s="161"/>
      <c r="D87" s="161"/>
      <c r="E87" s="161"/>
      <c r="F87" s="161"/>
      <c r="G87" s="161" t="s">
        <v>477</v>
      </c>
      <c r="H87" s="161">
        <v>7</v>
      </c>
      <c r="M87" s="78">
        <f>ROUND(SUM(M75:M86),2)</f>
        <v>857591.4</v>
      </c>
      <c r="N87" s="78">
        <f t="shared" ref="N87:Z87" si="136">ROUND(SUM(N75:N86),2)</f>
        <v>3658.8</v>
      </c>
      <c r="O87" s="78">
        <f t="shared" si="136"/>
        <v>15596.4</v>
      </c>
      <c r="P87" s="78">
        <f t="shared" si="136"/>
        <v>28806.9</v>
      </c>
      <c r="Q87" s="78">
        <f t="shared" si="136"/>
        <v>38442.9</v>
      </c>
      <c r="R87" s="78">
        <f t="shared" si="136"/>
        <v>50584.2</v>
      </c>
      <c r="S87" s="78">
        <f t="shared" si="136"/>
        <v>58989.9</v>
      </c>
      <c r="T87" s="78">
        <f t="shared" si="136"/>
        <v>63321.120000000003</v>
      </c>
      <c r="U87" s="78">
        <f t="shared" si="136"/>
        <v>76511.460000000006</v>
      </c>
      <c r="V87" s="78">
        <f t="shared" si="136"/>
        <v>84234.6</v>
      </c>
      <c r="W87" s="78">
        <f t="shared" si="136"/>
        <v>83331.179999999993</v>
      </c>
      <c r="X87" s="78">
        <f t="shared" si="136"/>
        <v>93618.48</v>
      </c>
      <c r="Y87" s="78">
        <f t="shared" si="136"/>
        <v>113015.1</v>
      </c>
      <c r="Z87" s="78">
        <f t="shared" si="136"/>
        <v>104571.6</v>
      </c>
      <c r="AA87" s="181">
        <f>ROUND(SUM(AA75:AA86),2)</f>
        <v>42908.76</v>
      </c>
      <c r="AI87" s="78" t="s">
        <v>114</v>
      </c>
      <c r="AJ87" s="78">
        <f>AW73</f>
        <v>0</v>
      </c>
      <c r="AV87" s="181">
        <f>ROUND(0.2*AJ87,2)</f>
        <v>0</v>
      </c>
      <c r="AW87" s="181">
        <f>ROUND(0.5*AJ87,2)</f>
        <v>0</v>
      </c>
      <c r="AX87" s="181">
        <f>AJ87-AV87-AW87</f>
        <v>0</v>
      </c>
    </row>
    <row r="88" spans="1:53" x14ac:dyDescent="0.25">
      <c r="A88" s="161"/>
      <c r="B88" s="161" t="s">
        <v>82</v>
      </c>
      <c r="C88" s="161" t="s">
        <v>83</v>
      </c>
      <c r="D88" s="161" t="s">
        <v>84</v>
      </c>
      <c r="E88" s="161" t="s">
        <v>115</v>
      </c>
      <c r="F88" s="161"/>
      <c r="G88" s="161"/>
      <c r="H88" s="161"/>
      <c r="M88" s="78" t="s">
        <v>581</v>
      </c>
      <c r="Z88" s="78">
        <f>ROUND(SUM(Z75:AA86),2)</f>
        <v>147480.35999999999</v>
      </c>
      <c r="AA88" s="78" t="s">
        <v>229</v>
      </c>
      <c r="AJ88" s="78">
        <f>ROUND(SUM(AJ76:AJ87),2)</f>
        <v>236283</v>
      </c>
      <c r="AK88" s="181">
        <f>ROUND(SUM(AK74:AK87),2)</f>
        <v>133177.44</v>
      </c>
      <c r="AL88" s="78">
        <f>ROUND(SUM(AL74:AL87),2)</f>
        <v>133074.12</v>
      </c>
      <c r="AM88" s="78">
        <f t="shared" ref="AM88:AX88" si="137">ROUND(SUM(AM76:AM87),2)</f>
        <v>89535.66</v>
      </c>
      <c r="AN88" s="78">
        <f t="shared" si="137"/>
        <v>27976.14</v>
      </c>
      <c r="AO88" s="78">
        <f t="shared" si="137"/>
        <v>0</v>
      </c>
      <c r="AP88" s="78">
        <f t="shared" si="137"/>
        <v>0</v>
      </c>
      <c r="AQ88" s="78">
        <f t="shared" si="137"/>
        <v>0</v>
      </c>
      <c r="AR88" s="78">
        <f t="shared" si="137"/>
        <v>0</v>
      </c>
      <c r="AS88" s="78">
        <f t="shared" si="137"/>
        <v>0</v>
      </c>
      <c r="AT88" s="78">
        <f t="shared" si="137"/>
        <v>0</v>
      </c>
      <c r="AU88" s="78">
        <f t="shared" si="137"/>
        <v>0</v>
      </c>
      <c r="AV88" s="78">
        <f t="shared" si="137"/>
        <v>0</v>
      </c>
      <c r="AW88" s="78">
        <f t="shared" si="137"/>
        <v>0</v>
      </c>
      <c r="AX88" s="78">
        <f t="shared" si="137"/>
        <v>0</v>
      </c>
    </row>
    <row r="89" spans="1:53" x14ac:dyDescent="0.25">
      <c r="A89" s="161" t="s">
        <v>460</v>
      </c>
      <c r="B89" s="161">
        <v>0.05</v>
      </c>
      <c r="C89" s="161">
        <v>0.1</v>
      </c>
      <c r="D89" s="161">
        <v>0.2</v>
      </c>
      <c r="E89" s="161">
        <f>IF($D$3=1,B89,IF($D$3=2,C89,D89))</f>
        <v>0.05</v>
      </c>
      <c r="F89" s="161"/>
      <c r="L89" s="78" t="s">
        <v>103</v>
      </c>
      <c r="M89" s="78">
        <f>N71</f>
        <v>18294</v>
      </c>
      <c r="N89" s="181">
        <f>ROUND(0.2*M89,2)</f>
        <v>3658.8</v>
      </c>
      <c r="O89" s="181">
        <f>ROUND(0.5*M89,2)</f>
        <v>9147</v>
      </c>
      <c r="P89" s="181">
        <f>M89-N89-O89</f>
        <v>5488.2000000000007</v>
      </c>
      <c r="AA89" s="181"/>
      <c r="AK89" s="89" t="s">
        <v>591</v>
      </c>
      <c r="AL89" s="89" t="s">
        <v>592</v>
      </c>
      <c r="AW89" s="78">
        <f>ROUND(SUM(AW76:AX87),2)</f>
        <v>0</v>
      </c>
      <c r="AX89" s="78" t="s">
        <v>229</v>
      </c>
      <c r="AZ89" s="78" t="s">
        <v>700</v>
      </c>
      <c r="BA89" s="78">
        <f>Z88-AW89</f>
        <v>147480.35999999999</v>
      </c>
    </row>
    <row r="90" spans="1:53" x14ac:dyDescent="0.25">
      <c r="A90" s="161" t="s">
        <v>461</v>
      </c>
      <c r="B90" s="161">
        <v>0.05</v>
      </c>
      <c r="C90" s="161">
        <v>0.03</v>
      </c>
      <c r="D90" s="161">
        <v>0.08</v>
      </c>
      <c r="E90" s="161">
        <f>IF($D$3=1,B90,IF($D$3=2,C90,D90))</f>
        <v>0.05</v>
      </c>
      <c r="F90" s="161"/>
      <c r="L90" s="78" t="s">
        <v>104</v>
      </c>
      <c r="M90" s="78">
        <f>O71</f>
        <v>32247</v>
      </c>
      <c r="O90" s="181">
        <f>ROUND(0.2*M90,2)</f>
        <v>6449.4</v>
      </c>
      <c r="P90" s="181">
        <f>ROUND(0.5*M90,2)</f>
        <v>16123.5</v>
      </c>
      <c r="Q90" s="181">
        <f>M90-O90-P90</f>
        <v>9674.0999999999985</v>
      </c>
      <c r="AH90" s="78" t="s">
        <v>581</v>
      </c>
      <c r="AI90" s="78" t="s">
        <v>113</v>
      </c>
      <c r="AJ90" s="78">
        <f>M99</f>
        <v>91602</v>
      </c>
      <c r="AK90" s="181">
        <f>Z99</f>
        <v>27480.600000000006</v>
      </c>
    </row>
    <row r="91" spans="1:53" x14ac:dyDescent="0.25">
      <c r="A91" s="161" t="s">
        <v>462</v>
      </c>
      <c r="B91" s="161">
        <f>B89+B90*5</f>
        <v>0.3</v>
      </c>
      <c r="C91" s="161">
        <f>C89+C90*5</f>
        <v>0.25</v>
      </c>
      <c r="D91" s="161">
        <f>D89+D90*5</f>
        <v>0.60000000000000009</v>
      </c>
      <c r="E91" s="161">
        <f>IF($D$3=1,B91,IF($D$3=2,C91,D91))</f>
        <v>0.3</v>
      </c>
      <c r="F91" s="161"/>
      <c r="L91" s="78" t="s">
        <v>105</v>
      </c>
      <c r="M91" s="78">
        <f>P71</f>
        <v>35976</v>
      </c>
      <c r="P91" s="181">
        <f>ROUND(0.2*M91,2)</f>
        <v>7195.2</v>
      </c>
      <c r="Q91" s="181">
        <f>ROUND(0.5*M91,2)</f>
        <v>17988</v>
      </c>
      <c r="R91" s="181">
        <f>M91-P91-Q91</f>
        <v>10792.8</v>
      </c>
      <c r="AI91" s="78" t="s">
        <v>114</v>
      </c>
      <c r="AJ91" s="78">
        <f>M100</f>
        <v>118902</v>
      </c>
      <c r="AK91" s="181">
        <f>Z100</f>
        <v>59451</v>
      </c>
      <c r="AL91" s="181">
        <f>AA100</f>
        <v>35670.600000000006</v>
      </c>
    </row>
    <row r="92" spans="1:53" x14ac:dyDescent="0.25">
      <c r="A92" s="161" t="s">
        <v>464</v>
      </c>
      <c r="B92" s="161" t="s">
        <v>465</v>
      </c>
      <c r="C92" s="161" t="s">
        <v>467</v>
      </c>
      <c r="D92" s="161" t="s">
        <v>466</v>
      </c>
      <c r="E92" s="161" t="str">
        <f>IF($D$3=1,B92,IF($D$3=2,C92,D92))</f>
        <v>the CBD</v>
      </c>
      <c r="F92" s="161"/>
      <c r="L92" s="78" t="s">
        <v>107</v>
      </c>
      <c r="M92" s="78">
        <f>Q71</f>
        <v>53904</v>
      </c>
      <c r="Q92" s="181">
        <f>ROUND(0.2*M92,2)</f>
        <v>10780.8</v>
      </c>
      <c r="R92" s="181">
        <f>ROUND(0.5*M92,2)</f>
        <v>26952</v>
      </c>
      <c r="S92" s="181">
        <f>M92-Q92-R92</f>
        <v>16171.199999999997</v>
      </c>
      <c r="AI92" s="78" t="s">
        <v>103</v>
      </c>
      <c r="AJ92" s="78">
        <f>AL71</f>
        <v>118902</v>
      </c>
      <c r="AK92" s="181">
        <f>ROUND(0.2*AJ92,2)</f>
        <v>23780.400000000001</v>
      </c>
      <c r="AL92" s="181">
        <f>ROUND(0.5*AJ92,2)</f>
        <v>59451</v>
      </c>
      <c r="AM92" s="181">
        <f>AJ92-AK92-AL92</f>
        <v>35670.600000000006</v>
      </c>
    </row>
    <row r="93" spans="1:53" x14ac:dyDescent="0.25">
      <c r="A93" s="161"/>
      <c r="B93" s="161"/>
      <c r="C93" s="161"/>
      <c r="D93" s="161"/>
      <c r="E93" s="161"/>
      <c r="F93" s="161"/>
      <c r="G93" s="161"/>
      <c r="H93" s="161"/>
      <c r="I93" s="161"/>
      <c r="L93" s="78" t="s">
        <v>5</v>
      </c>
      <c r="M93" s="78">
        <f>R71</f>
        <v>64197</v>
      </c>
      <c r="R93" s="181">
        <f>ROUND(0.2*M93,2)</f>
        <v>12839.4</v>
      </c>
      <c r="S93" s="181">
        <f>ROUND(0.5*M93,2)</f>
        <v>32098.5</v>
      </c>
      <c r="T93" s="181">
        <f>M93-R93-S93</f>
        <v>19259.099999999999</v>
      </c>
      <c r="AI93" s="78" t="s">
        <v>104</v>
      </c>
      <c r="AJ93" s="78">
        <f>AM71</f>
        <v>77523</v>
      </c>
      <c r="AL93" s="181">
        <f>ROUND(0.2*AJ93,2)</f>
        <v>15504.6</v>
      </c>
      <c r="AM93" s="181">
        <f>ROUND(0.5*AJ93,2)</f>
        <v>38761.5</v>
      </c>
      <c r="AN93" s="181">
        <f>AJ93-AL93-AM93</f>
        <v>23256.9</v>
      </c>
    </row>
    <row r="94" spans="1:53" x14ac:dyDescent="0.25">
      <c r="A94" s="161" t="s">
        <v>476</v>
      </c>
      <c r="B94" s="161" t="s">
        <v>7</v>
      </c>
      <c r="C94" s="161" t="s">
        <v>110</v>
      </c>
      <c r="D94" s="161" t="s">
        <v>111</v>
      </c>
      <c r="E94" s="161" t="s">
        <v>112</v>
      </c>
      <c r="F94" s="161"/>
      <c r="G94" s="161" t="s">
        <v>113</v>
      </c>
      <c r="H94" s="161" t="s">
        <v>114</v>
      </c>
      <c r="I94" s="161" t="s">
        <v>103</v>
      </c>
      <c r="L94" s="78" t="s">
        <v>108</v>
      </c>
      <c r="M94" s="78">
        <f>S71</f>
        <v>53601</v>
      </c>
      <c r="S94" s="181">
        <f>ROUND(0.2*M94,2)</f>
        <v>10720.2</v>
      </c>
      <c r="T94" s="181">
        <f>ROUND(0.5*M94,2)</f>
        <v>26800.5</v>
      </c>
      <c r="U94" s="181">
        <f>M94-S94-T94</f>
        <v>16080.300000000003</v>
      </c>
      <c r="AI94" s="78" t="s">
        <v>105</v>
      </c>
      <c r="AJ94" s="78">
        <f>AN71</f>
        <v>0</v>
      </c>
      <c r="AM94" s="181">
        <f>ROUND(0.2*AJ94,2)</f>
        <v>0</v>
      </c>
      <c r="AN94" s="181">
        <f>ROUND(0.5*AJ94,2)</f>
        <v>0</v>
      </c>
      <c r="AO94" s="181">
        <f>AJ94-AM94-AN94</f>
        <v>0</v>
      </c>
    </row>
    <row r="95" spans="1:53" x14ac:dyDescent="0.25">
      <c r="A95" s="161" t="s">
        <v>478</v>
      </c>
      <c r="B95" s="161">
        <f>IF(H87&lt;2,1,0)</f>
        <v>0</v>
      </c>
      <c r="C95" s="161">
        <f>IF(H87&lt;3,1,0)</f>
        <v>0</v>
      </c>
      <c r="D95" s="161">
        <f>IF(H87&lt;4,1,0)</f>
        <v>0</v>
      </c>
      <c r="E95" s="161">
        <f>IF(H87&lt;5,1,0)</f>
        <v>0</v>
      </c>
      <c r="F95" s="161"/>
      <c r="G95" s="161">
        <f>IF(H87&lt;6,1,0)</f>
        <v>0</v>
      </c>
      <c r="H95" s="161">
        <f>IF(H87&lt;7,1,0)</f>
        <v>0</v>
      </c>
      <c r="I95" s="161">
        <f>IF(H87&lt;7,1,0)</f>
        <v>0</v>
      </c>
      <c r="L95" s="78" t="s">
        <v>109</v>
      </c>
      <c r="M95" s="78">
        <f>T71</f>
        <v>71748</v>
      </c>
      <c r="T95" s="181">
        <f>ROUND(0.2*M95,2)</f>
        <v>14349.6</v>
      </c>
      <c r="U95" s="181">
        <f>ROUND(0.5*M95,2)</f>
        <v>35874</v>
      </c>
      <c r="V95" s="181">
        <f>M95-T95-U95</f>
        <v>21524.400000000001</v>
      </c>
      <c r="AI95" s="78" t="s">
        <v>107</v>
      </c>
      <c r="AJ95" s="78">
        <f>AO71</f>
        <v>0</v>
      </c>
      <c r="AN95" s="181">
        <f>ROUND(0.2*AJ95,2)</f>
        <v>0</v>
      </c>
      <c r="AO95" s="181">
        <f>ROUND(0.5*AJ95,2)</f>
        <v>0</v>
      </c>
      <c r="AP95" s="181">
        <f>AJ95-AN95-AO95</f>
        <v>0</v>
      </c>
    </row>
    <row r="96" spans="1:53" x14ac:dyDescent="0.25">
      <c r="L96" s="78" t="s">
        <v>110</v>
      </c>
      <c r="M96" s="78">
        <f>U71</f>
        <v>71814</v>
      </c>
      <c r="U96" s="181">
        <f>ROUND(0.2*M96,2)</f>
        <v>14362.8</v>
      </c>
      <c r="V96" s="181">
        <f>ROUND(0.5*M96,2)</f>
        <v>35907</v>
      </c>
      <c r="W96" s="181">
        <f>M96-U96-V96</f>
        <v>21544.199999999997</v>
      </c>
      <c r="AI96" s="78" t="s">
        <v>5</v>
      </c>
      <c r="AJ96" s="78">
        <f>AP71</f>
        <v>0</v>
      </c>
      <c r="AO96" s="181">
        <f>ROUND(0.2*AJ96,2)</f>
        <v>0</v>
      </c>
      <c r="AP96" s="181">
        <f>ROUND(0.5*AJ96,2)</f>
        <v>0</v>
      </c>
      <c r="AQ96" s="181">
        <f>AJ96-AO96-AP96</f>
        <v>0</v>
      </c>
    </row>
    <row r="97" spans="1:50" x14ac:dyDescent="0.25">
      <c r="A97" s="241" t="s">
        <v>604</v>
      </c>
      <c r="B97" s="241"/>
      <c r="C97" s="241"/>
      <c r="D97" s="241" t="s">
        <v>115</v>
      </c>
      <c r="E97" s="241">
        <v>4</v>
      </c>
      <c r="F97" s="241"/>
      <c r="G97" s="241"/>
      <c r="H97" s="241"/>
      <c r="I97" s="241"/>
      <c r="J97" s="241"/>
      <c r="K97" s="241"/>
      <c r="L97" s="78" t="s">
        <v>111</v>
      </c>
      <c r="M97" s="78">
        <f>V71</f>
        <v>62967</v>
      </c>
      <c r="V97" s="181">
        <f>ROUND(0.2*M97,2)</f>
        <v>12593.4</v>
      </c>
      <c r="W97" s="181">
        <f>ROUND(0.5*M97,2)</f>
        <v>31483.5</v>
      </c>
      <c r="X97" s="181">
        <f>M97-V97-W97</f>
        <v>18890.099999999999</v>
      </c>
      <c r="AI97" s="78" t="s">
        <v>108</v>
      </c>
      <c r="AJ97" s="78">
        <f>AQ71</f>
        <v>0</v>
      </c>
      <c r="AP97" s="181">
        <f>ROUND(0.2*AJ97,2)</f>
        <v>0</v>
      </c>
      <c r="AQ97" s="181">
        <f>ROUND(0.5*AJ97,2)</f>
        <v>0</v>
      </c>
      <c r="AR97" s="181">
        <f>AJ97-AP97-AQ97</f>
        <v>0</v>
      </c>
    </row>
    <row r="98" spans="1:50" x14ac:dyDescent="0.25">
      <c r="A98" s="241"/>
      <c r="B98" s="241" t="s">
        <v>82</v>
      </c>
      <c r="C98" s="241" t="s">
        <v>612</v>
      </c>
      <c r="D98" s="241" t="s">
        <v>84</v>
      </c>
      <c r="E98" s="241" t="s">
        <v>632</v>
      </c>
      <c r="F98" s="241"/>
      <c r="G98" s="241" t="s">
        <v>633</v>
      </c>
      <c r="H98" s="241" t="s">
        <v>641</v>
      </c>
      <c r="I98" s="241" t="s">
        <v>642</v>
      </c>
      <c r="J98" s="241" t="s">
        <v>643</v>
      </c>
      <c r="K98" s="241"/>
      <c r="L98" s="78" t="s">
        <v>112</v>
      </c>
      <c r="M98" s="78">
        <f>W71</f>
        <v>81231</v>
      </c>
      <c r="W98" s="181">
        <f>ROUND(0.2*M98,2)</f>
        <v>16246.2</v>
      </c>
      <c r="X98" s="181">
        <f>ROUND(0.5*M98,2)</f>
        <v>40615.5</v>
      </c>
      <c r="Y98" s="181">
        <f>M98-W98-X98</f>
        <v>24369.300000000003</v>
      </c>
      <c r="AI98" s="78" t="s">
        <v>109</v>
      </c>
      <c r="AJ98" s="78">
        <f>AR71</f>
        <v>0</v>
      </c>
      <c r="AQ98" s="181">
        <f>ROUND(0.2*AJ98,2)</f>
        <v>0</v>
      </c>
      <c r="AR98" s="181">
        <f>ROUND(0.5*AJ98,2)</f>
        <v>0</v>
      </c>
      <c r="AS98" s="181">
        <f>AJ98-AQ98-AR98</f>
        <v>0</v>
      </c>
    </row>
    <row r="99" spans="1:50" x14ac:dyDescent="0.25">
      <c r="A99" s="241" t="s">
        <v>608</v>
      </c>
      <c r="B99" s="241">
        <v>0.8</v>
      </c>
      <c r="C99" s="241">
        <v>1.2</v>
      </c>
      <c r="D99" s="241">
        <v>1.3</v>
      </c>
      <c r="E99" s="241">
        <v>2</v>
      </c>
      <c r="F99" s="241"/>
      <c r="G99" s="241">
        <v>0.6</v>
      </c>
      <c r="H99" s="241">
        <v>0.85</v>
      </c>
      <c r="I99" s="241">
        <v>1</v>
      </c>
      <c r="J99" s="241">
        <v>0.9</v>
      </c>
      <c r="K99" s="241"/>
      <c r="L99" s="78" t="s">
        <v>113</v>
      </c>
      <c r="M99" s="78">
        <f>X71</f>
        <v>91602</v>
      </c>
      <c r="X99" s="181">
        <f>ROUND(0.2*M99,2)</f>
        <v>18320.400000000001</v>
      </c>
      <c r="Y99" s="181">
        <f>ROUND(0.5*M99,2)</f>
        <v>45801</v>
      </c>
      <c r="Z99" s="181">
        <f>M99-X99-Y99</f>
        <v>27480.600000000006</v>
      </c>
      <c r="AI99" s="78" t="s">
        <v>110</v>
      </c>
      <c r="AJ99" s="78">
        <f>AS71</f>
        <v>0</v>
      </c>
      <c r="AR99" s="181">
        <f>ROUND(0.2*AJ99,2)</f>
        <v>0</v>
      </c>
      <c r="AS99" s="181">
        <f>ROUND(0.5*AJ99,2)</f>
        <v>0</v>
      </c>
      <c r="AT99" s="181">
        <f>AJ99-AR99-AS99</f>
        <v>0</v>
      </c>
    </row>
    <row r="100" spans="1:50" x14ac:dyDescent="0.25">
      <c r="A100" s="241" t="s">
        <v>609</v>
      </c>
      <c r="B100" s="241">
        <v>0.9</v>
      </c>
      <c r="C100" s="241">
        <v>0.9</v>
      </c>
      <c r="D100" s="241">
        <v>0.9</v>
      </c>
      <c r="E100" s="241">
        <v>0.7</v>
      </c>
      <c r="F100" s="241"/>
      <c r="G100" s="241">
        <v>0.8</v>
      </c>
      <c r="H100" s="241">
        <v>1</v>
      </c>
      <c r="I100" s="241">
        <v>1</v>
      </c>
      <c r="J100" s="241">
        <v>0.7</v>
      </c>
      <c r="K100" s="241"/>
      <c r="L100" s="78" t="s">
        <v>114</v>
      </c>
      <c r="M100" s="78">
        <f>Y71</f>
        <v>118902</v>
      </c>
      <c r="Y100" s="181">
        <f>ROUND(0.2*M100,2)</f>
        <v>23780.400000000001</v>
      </c>
      <c r="Z100" s="181">
        <f>ROUND(0.5*M100,2)</f>
        <v>59451</v>
      </c>
      <c r="AA100" s="181">
        <f>M100-Y100-Z100</f>
        <v>35670.600000000006</v>
      </c>
      <c r="AI100" s="78" t="s">
        <v>111</v>
      </c>
      <c r="AJ100" s="78">
        <f>AT71</f>
        <v>0</v>
      </c>
      <c r="AS100" s="181">
        <f>ROUND(0.2*AJ100,2)</f>
        <v>0</v>
      </c>
      <c r="AT100" s="181">
        <f>ROUND(0.5*AJ100,2)</f>
        <v>0</v>
      </c>
      <c r="AU100" s="181">
        <f>AJ100-AS100-AT100</f>
        <v>0</v>
      </c>
    </row>
    <row r="101" spans="1:50" x14ac:dyDescent="0.25">
      <c r="A101" s="241" t="s">
        <v>610</v>
      </c>
      <c r="B101" s="241">
        <v>1.2</v>
      </c>
      <c r="C101" s="241">
        <v>0.9</v>
      </c>
      <c r="D101" s="241">
        <v>1</v>
      </c>
      <c r="E101" s="241">
        <v>1</v>
      </c>
      <c r="F101" s="241"/>
      <c r="G101" s="241">
        <v>1.4</v>
      </c>
      <c r="H101" s="241">
        <v>1</v>
      </c>
      <c r="I101" s="241">
        <v>1</v>
      </c>
      <c r="J101" s="241">
        <v>1.1000000000000001</v>
      </c>
      <c r="K101" s="241"/>
      <c r="M101" s="78">
        <f>ROUND(SUM(M89:M100),2)</f>
        <v>756483</v>
      </c>
      <c r="N101" s="78">
        <f t="shared" ref="N101:Z101" si="138">ROUND(SUM(N89:N100),2)</f>
        <v>3658.8</v>
      </c>
      <c r="O101" s="78">
        <f t="shared" si="138"/>
        <v>15596.4</v>
      </c>
      <c r="P101" s="78">
        <f t="shared" si="138"/>
        <v>28806.9</v>
      </c>
      <c r="Q101" s="78">
        <f t="shared" si="138"/>
        <v>38442.9</v>
      </c>
      <c r="R101" s="78">
        <f t="shared" si="138"/>
        <v>50584.2</v>
      </c>
      <c r="S101" s="78">
        <f t="shared" si="138"/>
        <v>58989.9</v>
      </c>
      <c r="T101" s="78">
        <f t="shared" si="138"/>
        <v>60409.2</v>
      </c>
      <c r="U101" s="78">
        <f t="shared" si="138"/>
        <v>66317.100000000006</v>
      </c>
      <c r="V101" s="78">
        <f t="shared" si="138"/>
        <v>70024.800000000003</v>
      </c>
      <c r="W101" s="78">
        <f t="shared" si="138"/>
        <v>69273.899999999994</v>
      </c>
      <c r="X101" s="78">
        <f t="shared" si="138"/>
        <v>77826</v>
      </c>
      <c r="Y101" s="78">
        <f t="shared" si="138"/>
        <v>93950.7</v>
      </c>
      <c r="Z101" s="78">
        <f t="shared" si="138"/>
        <v>86931.6</v>
      </c>
      <c r="AA101" s="181">
        <f>SUM(AA89:AA100)</f>
        <v>35670.600000000006</v>
      </c>
      <c r="AI101" s="78" t="s">
        <v>112</v>
      </c>
      <c r="AJ101" s="78">
        <f>AU71</f>
        <v>0</v>
      </c>
      <c r="AT101" s="181">
        <f>ROUND(0.2*AJ101,2)</f>
        <v>0</v>
      </c>
      <c r="AU101" s="181">
        <f>ROUND(0.5*AJ101,2)</f>
        <v>0</v>
      </c>
      <c r="AV101" s="181">
        <f>AJ101-AT101-AU101</f>
        <v>0</v>
      </c>
    </row>
    <row r="102" spans="1:50" x14ac:dyDescent="0.25">
      <c r="A102" s="241" t="s">
        <v>611</v>
      </c>
      <c r="B102" s="241">
        <v>1</v>
      </c>
      <c r="C102" s="241">
        <v>1</v>
      </c>
      <c r="D102" s="241">
        <v>1</v>
      </c>
      <c r="E102" s="241">
        <v>1.1000000000000001</v>
      </c>
      <c r="F102" s="241"/>
      <c r="G102" s="241">
        <v>1.1000000000000001</v>
      </c>
      <c r="H102" s="241">
        <v>1.1000000000000001</v>
      </c>
      <c r="I102" s="241">
        <v>1.1000000000000001</v>
      </c>
      <c r="J102" s="241">
        <v>1.1000000000000001</v>
      </c>
      <c r="K102" s="241"/>
      <c r="Z102" s="78">
        <f>SUM(Z89:AA100)</f>
        <v>122602.20000000001</v>
      </c>
      <c r="AA102" s="78" t="s">
        <v>229</v>
      </c>
      <c r="AI102" s="78" t="s">
        <v>113</v>
      </c>
      <c r="AJ102" s="78">
        <f>AV71</f>
        <v>0</v>
      </c>
      <c r="AU102" s="181">
        <f>ROUND(0.2*AJ102,2)</f>
        <v>0</v>
      </c>
      <c r="AV102" s="181">
        <f>ROUND(0.5*AJ102,2)</f>
        <v>0</v>
      </c>
      <c r="AW102" s="181">
        <f>AJ102-AU102-AV102</f>
        <v>0</v>
      </c>
    </row>
    <row r="103" spans="1:50" x14ac:dyDescent="0.25">
      <c r="A103" s="241" t="s">
        <v>115</v>
      </c>
      <c r="B103" s="241">
        <f t="shared" ref="B103:J103" si="139">IF($E$97=1,B99,IF($E$97=2,B100,IF($E$97=3,B101,B102)))</f>
        <v>1</v>
      </c>
      <c r="C103" s="241">
        <f t="shared" si="139"/>
        <v>1</v>
      </c>
      <c r="D103" s="241">
        <f t="shared" si="139"/>
        <v>1</v>
      </c>
      <c r="E103" s="241">
        <f t="shared" si="139"/>
        <v>1.1000000000000001</v>
      </c>
      <c r="F103" s="241"/>
      <c r="G103" s="241">
        <f t="shared" si="139"/>
        <v>1.1000000000000001</v>
      </c>
      <c r="H103" s="241">
        <f t="shared" si="139"/>
        <v>1.1000000000000001</v>
      </c>
      <c r="I103" s="241">
        <f t="shared" si="139"/>
        <v>1.1000000000000001</v>
      </c>
      <c r="J103" s="241">
        <f t="shared" si="139"/>
        <v>1.1000000000000001</v>
      </c>
      <c r="K103" s="241"/>
      <c r="M103" s="78" t="s">
        <v>582</v>
      </c>
      <c r="AI103" s="78" t="s">
        <v>114</v>
      </c>
      <c r="AJ103" s="78">
        <f>AW71</f>
        <v>0</v>
      </c>
      <c r="AV103" s="181">
        <f>ROUND(0.2*AJ103,2)</f>
        <v>0</v>
      </c>
      <c r="AW103" s="181">
        <f>ROUND(0.5*AJ103,2)</f>
        <v>0</v>
      </c>
      <c r="AX103" s="181">
        <f>AJ103-AV103-AW103</f>
        <v>0</v>
      </c>
    </row>
    <row r="104" spans="1:50" x14ac:dyDescent="0.25">
      <c r="A104" s="241"/>
      <c r="B104" s="241"/>
      <c r="C104" s="241"/>
      <c r="D104" s="241"/>
      <c r="E104" s="241"/>
      <c r="F104" s="241"/>
      <c r="G104" s="241"/>
      <c r="H104" s="241"/>
      <c r="I104" s="241"/>
      <c r="J104" s="241"/>
      <c r="K104" s="241"/>
      <c r="L104" s="78" t="s">
        <v>103</v>
      </c>
      <c r="M104" s="78">
        <f>N72</f>
        <v>0</v>
      </c>
      <c r="N104" s="181">
        <f>ROUND(0.2*M104,2)</f>
        <v>0</v>
      </c>
      <c r="O104" s="181">
        <f>ROUND(0.5*M104,2)</f>
        <v>0</v>
      </c>
      <c r="P104" s="181">
        <f>M104-N104-O104</f>
        <v>0</v>
      </c>
      <c r="AA104" s="181"/>
      <c r="AJ104" s="78">
        <f>ROUND(SUM(AJ92:AJ103),2)</f>
        <v>196425</v>
      </c>
      <c r="AK104" s="181">
        <f>ROUND(SUM(AK90:AK103),2)</f>
        <v>110712</v>
      </c>
      <c r="AL104" s="78">
        <f>ROUND(SUM(AL90:AL103),2)</f>
        <v>110626.2</v>
      </c>
      <c r="AM104" s="78">
        <f t="shared" ref="AM104:AX104" si="140">ROUND(SUM(AM92:AM103),2)</f>
        <v>74432.100000000006</v>
      </c>
      <c r="AN104" s="78">
        <f t="shared" si="140"/>
        <v>23256.9</v>
      </c>
      <c r="AO104" s="78">
        <f t="shared" si="140"/>
        <v>0</v>
      </c>
      <c r="AP104" s="78">
        <f t="shared" si="140"/>
        <v>0</v>
      </c>
      <c r="AQ104" s="78">
        <f t="shared" si="140"/>
        <v>0</v>
      </c>
      <c r="AR104" s="78">
        <f t="shared" si="140"/>
        <v>0</v>
      </c>
      <c r="AS104" s="78">
        <f t="shared" si="140"/>
        <v>0</v>
      </c>
      <c r="AT104" s="78">
        <f t="shared" si="140"/>
        <v>0</v>
      </c>
      <c r="AU104" s="78">
        <f t="shared" si="140"/>
        <v>0</v>
      </c>
      <c r="AV104" s="78">
        <f t="shared" si="140"/>
        <v>0</v>
      </c>
      <c r="AW104" s="78">
        <f t="shared" si="140"/>
        <v>0</v>
      </c>
      <c r="AX104" s="78">
        <f t="shared" si="140"/>
        <v>0</v>
      </c>
    </row>
    <row r="105" spans="1:50" x14ac:dyDescent="0.25">
      <c r="A105" s="241" t="s">
        <v>613</v>
      </c>
      <c r="B105" s="241"/>
      <c r="C105" s="241"/>
      <c r="D105" s="241"/>
      <c r="E105" s="241"/>
      <c r="F105" s="241"/>
      <c r="G105" s="241"/>
      <c r="H105" s="241"/>
      <c r="I105" s="241"/>
      <c r="J105" s="241"/>
      <c r="K105" s="241"/>
      <c r="L105" s="78" t="s">
        <v>104</v>
      </c>
      <c r="M105" s="78">
        <f>O72</f>
        <v>0</v>
      </c>
      <c r="O105" s="181">
        <f>ROUND(0.2*M105,2)</f>
        <v>0</v>
      </c>
      <c r="P105" s="181">
        <f>ROUND(0.5*M105,2)</f>
        <v>0</v>
      </c>
      <c r="Q105" s="181">
        <f>M105-O105-P105</f>
        <v>0</v>
      </c>
      <c r="AK105" s="89" t="s">
        <v>591</v>
      </c>
      <c r="AL105" s="89" t="s">
        <v>592</v>
      </c>
      <c r="AW105" s="78">
        <f>SUM(AW92:AX103)</f>
        <v>0</v>
      </c>
      <c r="AX105" s="78" t="s">
        <v>229</v>
      </c>
    </row>
    <row r="106" spans="1:50" x14ac:dyDescent="0.25">
      <c r="A106" s="241">
        <f>IF($D$3=1,B103,IF($D$3=2,C103,D103))</f>
        <v>1</v>
      </c>
      <c r="B106" s="241"/>
      <c r="C106" s="241"/>
      <c r="D106" s="241"/>
      <c r="E106" s="241"/>
      <c r="F106" s="241"/>
      <c r="G106" s="241"/>
      <c r="H106" s="241"/>
      <c r="I106" s="241"/>
      <c r="J106" s="241"/>
      <c r="K106" s="241"/>
      <c r="L106" s="78" t="s">
        <v>105</v>
      </c>
      <c r="M106" s="78">
        <f>P72</f>
        <v>0</v>
      </c>
      <c r="P106" s="181">
        <f>ROUND(0.2*M106,2)</f>
        <v>0</v>
      </c>
      <c r="Q106" s="181">
        <f>ROUND(0.5*M106,2)</f>
        <v>0</v>
      </c>
      <c r="R106" s="181">
        <f>M106-P106-Q106</f>
        <v>0</v>
      </c>
      <c r="AH106" s="78" t="s">
        <v>582</v>
      </c>
      <c r="AI106" s="78" t="s">
        <v>113</v>
      </c>
      <c r="AJ106" s="78">
        <f>M114</f>
        <v>18588</v>
      </c>
      <c r="AK106" s="181">
        <f>Z114</f>
        <v>5576.4</v>
      </c>
    </row>
    <row r="107" spans="1:50" x14ac:dyDescent="0.25">
      <c r="L107" s="78" t="s">
        <v>107</v>
      </c>
      <c r="M107" s="78">
        <f>Q72</f>
        <v>0</v>
      </c>
      <c r="Q107" s="181">
        <f>ROUND(0.2*M107,2)</f>
        <v>0</v>
      </c>
      <c r="R107" s="181">
        <f>ROUND(0.5*M107,2)</f>
        <v>0</v>
      </c>
      <c r="S107" s="181">
        <f>M107-Q107-R107</f>
        <v>0</v>
      </c>
      <c r="AI107" s="78" t="s">
        <v>114</v>
      </c>
      <c r="AJ107" s="78">
        <f>M115</f>
        <v>24127.200000000001</v>
      </c>
      <c r="AK107" s="181">
        <f>Z115</f>
        <v>12063.6</v>
      </c>
      <c r="AL107" s="181">
        <f>AA115</f>
        <v>7238.1600000000017</v>
      </c>
    </row>
    <row r="108" spans="1:50" x14ac:dyDescent="0.25">
      <c r="A108" s="245" t="s">
        <v>614</v>
      </c>
      <c r="B108" s="245"/>
      <c r="C108" s="245"/>
      <c r="D108" s="245"/>
      <c r="E108" s="245"/>
      <c r="F108" s="245"/>
      <c r="G108" s="245"/>
      <c r="H108" s="245" t="s">
        <v>630</v>
      </c>
      <c r="I108" s="245" t="s">
        <v>629</v>
      </c>
      <c r="J108" s="245" t="s">
        <v>637</v>
      </c>
      <c r="K108" s="245" t="s">
        <v>627</v>
      </c>
      <c r="L108" s="78" t="s">
        <v>5</v>
      </c>
      <c r="M108" s="78">
        <f>R72</f>
        <v>0</v>
      </c>
      <c r="R108" s="181">
        <f>ROUND(0.2*M108,2)</f>
        <v>0</v>
      </c>
      <c r="S108" s="181">
        <f>ROUND(0.5*M108,2)</f>
        <v>0</v>
      </c>
      <c r="T108" s="181">
        <f>M108-R108-S108</f>
        <v>0</v>
      </c>
      <c r="AI108" s="78" t="s">
        <v>103</v>
      </c>
      <c r="AJ108" s="78">
        <f>AL72</f>
        <v>24127.200000000001</v>
      </c>
      <c r="AK108" s="181">
        <f>ROUND(0.2*AJ108,2)</f>
        <v>4825.4399999999996</v>
      </c>
      <c r="AL108" s="181">
        <f>ROUND(0.5*AJ108,2)</f>
        <v>12063.6</v>
      </c>
      <c r="AM108" s="181">
        <f>AJ108-AK108-AL108</f>
        <v>7238.1600000000017</v>
      </c>
    </row>
    <row r="109" spans="1:50" x14ac:dyDescent="0.25">
      <c r="A109" s="245" t="s">
        <v>66</v>
      </c>
      <c r="B109" s="245" t="s">
        <v>726</v>
      </c>
      <c r="C109" s="245" t="s">
        <v>727</v>
      </c>
      <c r="D109" s="245"/>
      <c r="E109" s="245"/>
      <c r="F109" s="245"/>
      <c r="G109" s="245"/>
      <c r="H109" s="245"/>
      <c r="I109" s="245">
        <f>B124</f>
        <v>1</v>
      </c>
      <c r="J109" s="245"/>
      <c r="K109" s="245"/>
      <c r="L109" s="78" t="s">
        <v>108</v>
      </c>
      <c r="M109" s="78">
        <f>S72</f>
        <v>0</v>
      </c>
      <c r="S109" s="181">
        <f>ROUND(0.2*M109,2)</f>
        <v>0</v>
      </c>
      <c r="T109" s="181">
        <f>ROUND(0.5*M109,2)</f>
        <v>0</v>
      </c>
      <c r="U109" s="181">
        <f>M109-S109-T109</f>
        <v>0</v>
      </c>
      <c r="AI109" s="78" t="s">
        <v>104</v>
      </c>
      <c r="AJ109" s="78">
        <f>AM72</f>
        <v>15730.8</v>
      </c>
      <c r="AL109" s="181">
        <f>ROUND(0.2*AJ109,2)</f>
        <v>3146.16</v>
      </c>
      <c r="AM109" s="181">
        <f>ROUND(0.5*AJ109,2)</f>
        <v>7865.4</v>
      </c>
      <c r="AN109" s="181">
        <f>AJ109-AL109-AM109</f>
        <v>4719.24</v>
      </c>
    </row>
    <row r="110" spans="1:50" x14ac:dyDescent="0.25">
      <c r="A110" s="245" t="s">
        <v>622</v>
      </c>
      <c r="B110" s="245">
        <v>0</v>
      </c>
      <c r="C110" s="245">
        <f>Advertising!B26</f>
        <v>0</v>
      </c>
      <c r="D110" s="245">
        <f>IF($C$3=3,0,IF(Advertising!B26="",B110,IF(C110&lt;0,0,IF(C110&gt;100000,20,C110/5000))))</f>
        <v>0</v>
      </c>
      <c r="E110" s="245" t="s">
        <v>626</v>
      </c>
      <c r="F110" s="245" t="s">
        <v>627</v>
      </c>
      <c r="G110" s="245" t="s">
        <v>628</v>
      </c>
      <c r="H110" s="245">
        <f>D110/100</f>
        <v>0</v>
      </c>
      <c r="I110" s="245">
        <f>ROUND(H110*H111*E103*B124,4)</f>
        <v>0</v>
      </c>
      <c r="J110" s="245">
        <f>D110*5000</f>
        <v>0</v>
      </c>
      <c r="K110" s="245">
        <f>IF($C$3=3,G111,F111)</f>
        <v>0</v>
      </c>
      <c r="L110" s="78" t="s">
        <v>109</v>
      </c>
      <c r="M110" s="78">
        <f>T72</f>
        <v>14559.6</v>
      </c>
      <c r="T110" s="181">
        <f>ROUND(0.2*M110,2)</f>
        <v>2911.92</v>
      </c>
      <c r="U110" s="181">
        <f>ROUND(0.5*M110,2)</f>
        <v>7279.8</v>
      </c>
      <c r="V110" s="181">
        <f>M110-T110-U110</f>
        <v>4367.88</v>
      </c>
      <c r="AI110" s="78" t="s">
        <v>105</v>
      </c>
      <c r="AJ110" s="78">
        <f>AN72</f>
        <v>0</v>
      </c>
      <c r="AM110" s="181">
        <f>ROUND(0.2*AJ110,2)</f>
        <v>0</v>
      </c>
      <c r="AN110" s="181">
        <f>ROUND(0.5*AJ110,2)</f>
        <v>0</v>
      </c>
      <c r="AO110" s="181">
        <f>AJ110-AM110-AN110</f>
        <v>0</v>
      </c>
    </row>
    <row r="111" spans="1:50" x14ac:dyDescent="0.25">
      <c r="A111" s="245" t="s">
        <v>623</v>
      </c>
      <c r="B111" s="245">
        <v>0</v>
      </c>
      <c r="C111" s="245">
        <f>Advertising!B29</f>
        <v>0</v>
      </c>
      <c r="D111" s="245">
        <f>IF($C$3=3,10,IF(AND(B110=0,C110=0),0,IF(Advertising!B29="",B111,IF(C111&lt;0,0,IF(C111&gt;900000,90,ROUND(C111/9000,0))))))</f>
        <v>0</v>
      </c>
      <c r="E111" s="245">
        <v>300</v>
      </c>
      <c r="F111" s="245">
        <f>D111*E111*30</f>
        <v>0</v>
      </c>
      <c r="G111" s="245">
        <v>5000</v>
      </c>
      <c r="H111" s="245">
        <f>SQRT(D111*4)</f>
        <v>0</v>
      </c>
      <c r="I111" s="245"/>
      <c r="J111" s="245"/>
      <c r="K111" s="245"/>
      <c r="L111" s="78" t="s">
        <v>110</v>
      </c>
      <c r="M111" s="78">
        <f>U72</f>
        <v>14572.8</v>
      </c>
      <c r="U111" s="181">
        <f>ROUND(0.2*M111,2)</f>
        <v>2914.56</v>
      </c>
      <c r="V111" s="181">
        <f>ROUND(0.5*M111,2)</f>
        <v>7286.4</v>
      </c>
      <c r="W111" s="181">
        <f>M111-U111-V111</f>
        <v>4371.84</v>
      </c>
      <c r="AI111" s="78" t="s">
        <v>107</v>
      </c>
      <c r="AJ111" s="78">
        <f>AO72</f>
        <v>0</v>
      </c>
      <c r="AN111" s="181">
        <f>ROUND(0.2*AJ111,2)</f>
        <v>0</v>
      </c>
      <c r="AO111" s="181">
        <f>ROUND(0.5*AJ111,2)</f>
        <v>0</v>
      </c>
      <c r="AP111" s="181">
        <f>AJ111-AN111-AO111</f>
        <v>0</v>
      </c>
    </row>
    <row r="112" spans="1:50" x14ac:dyDescent="0.25">
      <c r="A112" s="245" t="s">
        <v>634</v>
      </c>
      <c r="B112" s="245">
        <v>0</v>
      </c>
      <c r="C112" s="245">
        <f>Advertising!B37</f>
        <v>0</v>
      </c>
      <c r="D112" s="245">
        <f>IF($C$3=3,0,IF(Advertising!B37="",B112,IF(C112&lt;0,0,IF(C112&gt;6000,20,C112/300))))</f>
        <v>0</v>
      </c>
      <c r="E112" s="245" t="s">
        <v>626</v>
      </c>
      <c r="F112" s="245" t="s">
        <v>627</v>
      </c>
      <c r="G112" s="245" t="s">
        <v>628</v>
      </c>
      <c r="H112" s="245">
        <f>SQRT(D112*3)/100</f>
        <v>0</v>
      </c>
      <c r="I112" s="245">
        <f>ROUND(H112*H113*G103*B124,4)</f>
        <v>0</v>
      </c>
      <c r="J112" s="245">
        <f>D112*300</f>
        <v>0</v>
      </c>
      <c r="K112" s="245">
        <f>IF($C$3=3,G113,F113)</f>
        <v>0</v>
      </c>
      <c r="L112" s="78" t="s">
        <v>111</v>
      </c>
      <c r="M112" s="78">
        <f>V72</f>
        <v>12777.6</v>
      </c>
      <c r="V112" s="181">
        <f>ROUND(0.2*M112,2)</f>
        <v>2555.52</v>
      </c>
      <c r="W112" s="181">
        <f>ROUND(0.5*M112,2)</f>
        <v>6388.8</v>
      </c>
      <c r="X112" s="181">
        <f>M112-V112-W112</f>
        <v>3833.2799999999997</v>
      </c>
      <c r="AI112" s="78" t="s">
        <v>5</v>
      </c>
      <c r="AJ112" s="78">
        <f>AP72</f>
        <v>0</v>
      </c>
      <c r="AO112" s="181">
        <f>ROUND(0.2*AJ112,2)</f>
        <v>0</v>
      </c>
      <c r="AP112" s="181">
        <f>ROUND(0.5*AJ112,2)</f>
        <v>0</v>
      </c>
      <c r="AQ112" s="181">
        <f>AJ112-AO112-AP112</f>
        <v>0</v>
      </c>
    </row>
    <row r="113" spans="1:50" x14ac:dyDescent="0.25">
      <c r="A113" s="245" t="s">
        <v>635</v>
      </c>
      <c r="B113" s="245">
        <v>8</v>
      </c>
      <c r="C113" s="245">
        <f>Advertising!B40</f>
        <v>0</v>
      </c>
      <c r="D113" s="245">
        <f>IF($C$3=3,20,IF(AND(B112=0,C112=0),0,IF(Advertising!B40="",B113,IF(C113&lt;0,0,IF(C113&gt;60000,100,ROUND(C113/600,0))))))</f>
        <v>0</v>
      </c>
      <c r="E113" s="245">
        <v>20</v>
      </c>
      <c r="F113" s="245">
        <f>D113*E113*30</f>
        <v>0</v>
      </c>
      <c r="G113" s="245">
        <v>500</v>
      </c>
      <c r="H113" s="245">
        <f>SQRT(D113*0.8)</f>
        <v>0</v>
      </c>
      <c r="I113" s="245"/>
      <c r="J113" s="245"/>
      <c r="K113" s="245"/>
      <c r="L113" s="78" t="s">
        <v>112</v>
      </c>
      <c r="M113" s="78">
        <f>W72</f>
        <v>16483.2</v>
      </c>
      <c r="W113" s="181">
        <f>ROUND(0.2*M113,2)</f>
        <v>3296.64</v>
      </c>
      <c r="X113" s="181">
        <f>ROUND(0.5*M113,2)</f>
        <v>8241.6</v>
      </c>
      <c r="Y113" s="181">
        <f>M113-W113-X113</f>
        <v>4944.9600000000009</v>
      </c>
      <c r="AI113" s="78" t="s">
        <v>108</v>
      </c>
      <c r="AJ113" s="78">
        <f>AQ72</f>
        <v>0</v>
      </c>
      <c r="AP113" s="181">
        <f>ROUND(0.2*AJ113,2)</f>
        <v>0</v>
      </c>
      <c r="AQ113" s="181">
        <f>ROUND(0.5*AJ113,2)</f>
        <v>0</v>
      </c>
      <c r="AR113" s="181">
        <f>AJ113-AP113-AQ113</f>
        <v>0</v>
      </c>
    </row>
    <row r="114" spans="1:50" x14ac:dyDescent="0.25">
      <c r="A114" s="245" t="s">
        <v>647</v>
      </c>
      <c r="B114" s="245">
        <v>0</v>
      </c>
      <c r="C114" s="245">
        <f>Advertising!B48</f>
        <v>0</v>
      </c>
      <c r="D114" s="245">
        <f>IF($C$3=3,300,IF(Advertising!B48="",B114,IF(C114&lt;0,0,IF(C114&gt;200000,2000,ROUND(C114/100,0)))))</f>
        <v>0</v>
      </c>
      <c r="E114" s="245" t="s">
        <v>648</v>
      </c>
      <c r="F114" s="245">
        <v>100</v>
      </c>
      <c r="G114" s="247" t="s">
        <v>649</v>
      </c>
      <c r="H114" s="248">
        <v>1000</v>
      </c>
      <c r="I114" s="245">
        <f>ROUND((LOG((D114)^1.5/900+1)/1.5*H103)*B124,4)</f>
        <v>0</v>
      </c>
      <c r="J114" s="245"/>
      <c r="K114" s="245">
        <f>IF($C$3=3,H114,D114*F114)</f>
        <v>0</v>
      </c>
      <c r="L114" s="78" t="s">
        <v>113</v>
      </c>
      <c r="M114" s="78">
        <f>X72</f>
        <v>18588</v>
      </c>
      <c r="X114" s="181">
        <f>ROUND(0.2*M114,2)</f>
        <v>3717.6</v>
      </c>
      <c r="Y114" s="181">
        <f>ROUND(0.5*M114,2)</f>
        <v>9294</v>
      </c>
      <c r="Z114" s="181">
        <f>M114-X114-Y114</f>
        <v>5576.4</v>
      </c>
      <c r="AI114" s="78" t="s">
        <v>109</v>
      </c>
      <c r="AJ114" s="78">
        <f>AR72</f>
        <v>0</v>
      </c>
      <c r="AQ114" s="181">
        <f>ROUND(0.2*AJ114,2)</f>
        <v>0</v>
      </c>
      <c r="AR114" s="181">
        <f>ROUND(0.5*AJ114,2)</f>
        <v>0</v>
      </c>
      <c r="AS114" s="181">
        <f>AJ114-AQ114-AR114</f>
        <v>0</v>
      </c>
    </row>
    <row r="115" spans="1:50" x14ac:dyDescent="0.25">
      <c r="A115" s="245" t="s">
        <v>642</v>
      </c>
      <c r="B115" s="245">
        <v>100</v>
      </c>
      <c r="C115" s="245">
        <f>Advertising!B54</f>
        <v>0</v>
      </c>
      <c r="D115" s="245">
        <f>IF($C$3=3,80,IF(Advertising!B54="",B115,IF(C115&lt;0,0,IF(C115&gt;5000,100,ROUND(C115/50,0)))))</f>
        <v>100</v>
      </c>
      <c r="E115" s="245" t="s">
        <v>648</v>
      </c>
      <c r="F115" s="245">
        <v>50</v>
      </c>
      <c r="G115" s="247" t="s">
        <v>649</v>
      </c>
      <c r="H115" s="245">
        <v>200</v>
      </c>
      <c r="I115" s="245">
        <f>-0.4+0.007*D115</f>
        <v>0.30000000000000004</v>
      </c>
      <c r="J115" s="245"/>
      <c r="K115" s="245">
        <f>IF($C$3=3,H115,D115*F115)</f>
        <v>5000</v>
      </c>
      <c r="L115" s="78" t="s">
        <v>114</v>
      </c>
      <c r="M115" s="78">
        <f>Y72</f>
        <v>24127.200000000001</v>
      </c>
      <c r="Y115" s="181">
        <f>ROUND(0.2*M115,2)</f>
        <v>4825.4399999999996</v>
      </c>
      <c r="Z115" s="181">
        <f>ROUND(0.5*M115,2)</f>
        <v>12063.6</v>
      </c>
      <c r="AA115" s="181">
        <f>M115-Y115-Z115</f>
        <v>7238.1600000000017</v>
      </c>
      <c r="AI115" s="78" t="s">
        <v>110</v>
      </c>
      <c r="AJ115" s="78">
        <f>AS72</f>
        <v>0</v>
      </c>
      <c r="AR115" s="181">
        <f>ROUND(0.2*AJ115,2)</f>
        <v>0</v>
      </c>
      <c r="AS115" s="181">
        <f>ROUND(0.5*AJ115,2)</f>
        <v>0</v>
      </c>
      <c r="AT115" s="181">
        <f>AJ115-AR115-AS115</f>
        <v>0</v>
      </c>
    </row>
    <row r="116" spans="1:50" x14ac:dyDescent="0.25">
      <c r="A116" s="245" t="s">
        <v>653</v>
      </c>
      <c r="B116" s="245">
        <v>0</v>
      </c>
      <c r="C116" s="245">
        <f>Advertising!B60</f>
        <v>0</v>
      </c>
      <c r="D116" s="245">
        <f>IF($C$3=3,150,IF(Advertising!B60="",B116,IF(C116&lt;0,0,IF(C116&gt;200000,200,ROUND(C116/1000,0)))))</f>
        <v>0</v>
      </c>
      <c r="E116" s="245" t="s">
        <v>648</v>
      </c>
      <c r="F116" s="245">
        <v>1000</v>
      </c>
      <c r="G116" s="247" t="s">
        <v>649</v>
      </c>
      <c r="H116" s="245">
        <v>500</v>
      </c>
      <c r="I116" s="250">
        <f>ROUND(SIN(D116*(PI()/400))*J103*B124,4)</f>
        <v>0</v>
      </c>
      <c r="J116" s="245"/>
      <c r="K116" s="245">
        <f>IF($C$3=3,H116,D116*F116)</f>
        <v>0</v>
      </c>
      <c r="M116" s="78">
        <f>ROUND(SUM(M104:M115),2)</f>
        <v>101108.4</v>
      </c>
      <c r="N116" s="78">
        <f t="shared" ref="N116:Z116" si="141">ROUND(SUM(N104:N115),2)</f>
        <v>0</v>
      </c>
      <c r="O116" s="78">
        <f t="shared" si="141"/>
        <v>0</v>
      </c>
      <c r="P116" s="78">
        <f t="shared" si="141"/>
        <v>0</v>
      </c>
      <c r="Q116" s="78">
        <f t="shared" si="141"/>
        <v>0</v>
      </c>
      <c r="R116" s="78">
        <f t="shared" si="141"/>
        <v>0</v>
      </c>
      <c r="S116" s="78">
        <f t="shared" si="141"/>
        <v>0</v>
      </c>
      <c r="T116" s="78">
        <f t="shared" si="141"/>
        <v>2911.92</v>
      </c>
      <c r="U116" s="78">
        <f t="shared" si="141"/>
        <v>10194.36</v>
      </c>
      <c r="V116" s="78">
        <f t="shared" si="141"/>
        <v>14209.8</v>
      </c>
      <c r="W116" s="78">
        <f t="shared" si="141"/>
        <v>14057.28</v>
      </c>
      <c r="X116" s="78">
        <f t="shared" si="141"/>
        <v>15792.48</v>
      </c>
      <c r="Y116" s="78">
        <f t="shared" si="141"/>
        <v>19064.400000000001</v>
      </c>
      <c r="Z116" s="78">
        <f t="shared" si="141"/>
        <v>17640</v>
      </c>
      <c r="AA116" s="181">
        <f>SUM(AA104:AA115)</f>
        <v>7238.1600000000017</v>
      </c>
      <c r="AI116" s="78" t="s">
        <v>111</v>
      </c>
      <c r="AJ116" s="78">
        <f>AT72</f>
        <v>0</v>
      </c>
      <c r="AS116" s="181">
        <f>ROUND(0.2*AJ116,2)</f>
        <v>0</v>
      </c>
      <c r="AT116" s="181">
        <f>ROUND(0.5*AJ116,2)</f>
        <v>0</v>
      </c>
      <c r="AU116" s="181">
        <f>AJ116-AS116-AT116</f>
        <v>0</v>
      </c>
    </row>
    <row r="117" spans="1:50" x14ac:dyDescent="0.25">
      <c r="A117" s="245"/>
      <c r="B117" s="245"/>
      <c r="C117" s="245"/>
      <c r="D117" s="245"/>
      <c r="E117" s="245"/>
      <c r="F117" s="245"/>
      <c r="G117" s="245"/>
      <c r="H117" s="245"/>
      <c r="I117" s="245"/>
      <c r="J117" s="245"/>
      <c r="K117" s="245"/>
      <c r="Z117" s="78">
        <f>SUM(Z104:AA115)</f>
        <v>24878.160000000003</v>
      </c>
      <c r="AA117" s="78" t="s">
        <v>229</v>
      </c>
      <c r="AI117" s="78" t="s">
        <v>112</v>
      </c>
      <c r="AJ117" s="78">
        <f>AU72</f>
        <v>0</v>
      </c>
      <c r="AT117" s="181">
        <f>ROUND(0.2*AJ117,2)</f>
        <v>0</v>
      </c>
      <c r="AU117" s="181">
        <f>ROUND(0.5*AJ117,2)</f>
        <v>0</v>
      </c>
      <c r="AV117" s="181">
        <f>AJ117-AT117-AU117</f>
        <v>0</v>
      </c>
    </row>
    <row r="118" spans="1:50" x14ac:dyDescent="0.25">
      <c r="A118" s="245"/>
      <c r="B118" s="245"/>
      <c r="C118" s="245"/>
      <c r="D118" s="245"/>
      <c r="E118" s="245"/>
      <c r="F118" s="245"/>
      <c r="G118" s="245"/>
      <c r="H118" s="245"/>
      <c r="I118" s="245"/>
      <c r="J118" s="245"/>
      <c r="K118" s="245"/>
      <c r="AI118" s="78" t="s">
        <v>113</v>
      </c>
      <c r="AJ118" s="78">
        <f>AV72</f>
        <v>0</v>
      </c>
      <c r="AU118" s="181">
        <f>ROUND(0.2*AJ118,2)</f>
        <v>0</v>
      </c>
      <c r="AV118" s="181">
        <f>ROUND(0.5*AJ118,2)</f>
        <v>0</v>
      </c>
      <c r="AW118" s="181">
        <f>AJ118-AU118-AV118</f>
        <v>0</v>
      </c>
    </row>
    <row r="119" spans="1:50" x14ac:dyDescent="0.25">
      <c r="A119" s="245"/>
      <c r="B119" s="245"/>
      <c r="C119" s="245"/>
      <c r="D119" s="245"/>
      <c r="E119" s="245"/>
      <c r="F119" s="245"/>
      <c r="G119" s="245"/>
      <c r="H119" s="245"/>
      <c r="I119" s="245"/>
      <c r="J119" s="245"/>
      <c r="K119" s="245"/>
      <c r="AI119" s="78" t="s">
        <v>114</v>
      </c>
      <c r="AJ119" s="78">
        <f>AW72</f>
        <v>0</v>
      </c>
      <c r="AV119" s="181">
        <f>ROUND(0.2*AJ119,2)</f>
        <v>0</v>
      </c>
      <c r="AW119" s="181">
        <f>ROUND(0.5*AJ119,2)</f>
        <v>0</v>
      </c>
      <c r="AX119" s="181">
        <f>AJ119-AV119-AW119</f>
        <v>0</v>
      </c>
    </row>
    <row r="120" spans="1:50" x14ac:dyDescent="0.25">
      <c r="A120" s="245" t="s">
        <v>76</v>
      </c>
      <c r="B120" s="245"/>
      <c r="C120" s="245"/>
      <c r="D120" s="245"/>
      <c r="E120" s="245"/>
      <c r="F120" s="245"/>
      <c r="G120" s="245"/>
      <c r="H120" s="245" t="s">
        <v>654</v>
      </c>
      <c r="I120" s="245">
        <f>SUM(I109:I119)</f>
        <v>1.3</v>
      </c>
      <c r="J120" s="245">
        <f>SUM(J109:J119)</f>
        <v>0</v>
      </c>
      <c r="K120" s="245">
        <f>SUM(K110:K119)</f>
        <v>5000</v>
      </c>
      <c r="AJ120" s="78">
        <f>ROUND(SUM(AJ108:AJ119),2)</f>
        <v>39858</v>
      </c>
      <c r="AK120" s="181">
        <f>ROUND(SUM(AK106:AK119),2)</f>
        <v>22465.439999999999</v>
      </c>
      <c r="AL120" s="78">
        <f>ROUND(SUM(AL106:AL119),2)</f>
        <v>22447.919999999998</v>
      </c>
      <c r="AM120" s="78">
        <f t="shared" ref="AM120:AX120" si="142">ROUND(SUM(AM108:AM119),2)</f>
        <v>15103.56</v>
      </c>
      <c r="AN120" s="78">
        <f t="shared" si="142"/>
        <v>4719.24</v>
      </c>
      <c r="AO120" s="78">
        <f t="shared" si="142"/>
        <v>0</v>
      </c>
      <c r="AP120" s="78">
        <f t="shared" si="142"/>
        <v>0</v>
      </c>
      <c r="AQ120" s="78">
        <f t="shared" si="142"/>
        <v>0</v>
      </c>
      <c r="AR120" s="78">
        <f t="shared" si="142"/>
        <v>0</v>
      </c>
      <c r="AS120" s="78">
        <f t="shared" si="142"/>
        <v>0</v>
      </c>
      <c r="AT120" s="78">
        <f t="shared" si="142"/>
        <v>0</v>
      </c>
      <c r="AU120" s="78">
        <f t="shared" si="142"/>
        <v>0</v>
      </c>
      <c r="AV120" s="78">
        <f t="shared" si="142"/>
        <v>0</v>
      </c>
      <c r="AW120" s="78">
        <f t="shared" si="142"/>
        <v>0</v>
      </c>
      <c r="AX120" s="78">
        <f t="shared" si="142"/>
        <v>0</v>
      </c>
    </row>
    <row r="121" spans="1:50" x14ac:dyDescent="0.25">
      <c r="A121" s="245" t="s">
        <v>672</v>
      </c>
      <c r="B121" s="245">
        <v>1</v>
      </c>
      <c r="C121" s="245"/>
      <c r="D121" s="245"/>
      <c r="E121" s="245"/>
      <c r="F121" s="245"/>
      <c r="G121" s="245"/>
      <c r="H121" s="245"/>
      <c r="I121" s="245"/>
      <c r="J121" s="245"/>
      <c r="K121" s="245"/>
      <c r="N121" s="78" t="s">
        <v>688</v>
      </c>
      <c r="Z121" s="78" t="s">
        <v>685</v>
      </c>
      <c r="AK121" s="89" t="s">
        <v>591</v>
      </c>
      <c r="AL121" s="89" t="s">
        <v>592</v>
      </c>
      <c r="AW121" s="78">
        <f>SUM(AW108:AX119)</f>
        <v>0</v>
      </c>
      <c r="AX121" s="78" t="s">
        <v>229</v>
      </c>
    </row>
    <row r="122" spans="1:50" x14ac:dyDescent="0.25">
      <c r="A122" s="245" t="s">
        <v>81</v>
      </c>
      <c r="B122" s="245">
        <v>0.8</v>
      </c>
      <c r="C122" s="245"/>
      <c r="D122" s="245"/>
      <c r="E122" s="245"/>
      <c r="F122" s="245"/>
      <c r="G122" s="245"/>
      <c r="H122" s="245" t="s">
        <v>658</v>
      </c>
      <c r="I122" s="250" t="s">
        <v>657</v>
      </c>
      <c r="J122" s="245"/>
      <c r="K122" s="245"/>
      <c r="M122" s="78" t="s">
        <v>680</v>
      </c>
    </row>
    <row r="123" spans="1:50" x14ac:dyDescent="0.25">
      <c r="A123" s="245" t="s">
        <v>77</v>
      </c>
      <c r="B123" s="245">
        <v>0.5</v>
      </c>
      <c r="C123" s="245"/>
      <c r="D123" s="245"/>
      <c r="E123" s="245"/>
      <c r="F123" s="245"/>
      <c r="G123" s="245"/>
      <c r="H123" s="245" t="s">
        <v>660</v>
      </c>
      <c r="I123" s="250" t="s">
        <v>659</v>
      </c>
      <c r="J123" s="245"/>
      <c r="K123" s="245"/>
      <c r="M123" s="78" t="s">
        <v>679</v>
      </c>
      <c r="N123" s="78">
        <f>$D$20</f>
        <v>50000</v>
      </c>
      <c r="O123" s="78">
        <f>N125</f>
        <v>50000</v>
      </c>
      <c r="P123" s="78">
        <f>O125</f>
        <v>58000</v>
      </c>
      <c r="Q123" s="78">
        <f t="shared" ref="Q123:AL123" si="143">P125</f>
        <v>84000</v>
      </c>
      <c r="R123" s="78">
        <f t="shared" si="143"/>
        <v>102000</v>
      </c>
      <c r="S123" s="78">
        <f t="shared" si="143"/>
        <v>113000</v>
      </c>
      <c r="T123" s="78">
        <f t="shared" si="143"/>
        <v>113000</v>
      </c>
      <c r="U123" s="78">
        <f t="shared" si="143"/>
        <v>113000</v>
      </c>
      <c r="V123" s="78">
        <f t="shared" si="143"/>
        <v>113000</v>
      </c>
      <c r="W123" s="78">
        <f t="shared" si="143"/>
        <v>113000</v>
      </c>
      <c r="X123" s="78">
        <f t="shared" si="143"/>
        <v>113000</v>
      </c>
      <c r="Y123" s="78">
        <f t="shared" si="143"/>
        <v>113000</v>
      </c>
      <c r="Z123" s="78">
        <f t="shared" si="143"/>
        <v>113000</v>
      </c>
      <c r="AA123" s="78">
        <f t="shared" si="143"/>
        <v>113000</v>
      </c>
      <c r="AB123" s="78">
        <f t="shared" si="143"/>
        <v>113000</v>
      </c>
      <c r="AC123" s="78">
        <f t="shared" si="143"/>
        <v>113000</v>
      </c>
      <c r="AD123" s="78">
        <f t="shared" si="143"/>
        <v>113000</v>
      </c>
      <c r="AE123" s="78">
        <f t="shared" si="143"/>
        <v>113000</v>
      </c>
      <c r="AF123" s="78">
        <f t="shared" si="143"/>
        <v>113000</v>
      </c>
      <c r="AG123" s="78">
        <f t="shared" si="143"/>
        <v>113000</v>
      </c>
      <c r="AH123" s="78">
        <f t="shared" si="143"/>
        <v>113000</v>
      </c>
      <c r="AI123" s="78">
        <f t="shared" si="143"/>
        <v>113000</v>
      </c>
      <c r="AJ123" s="78">
        <f t="shared" si="143"/>
        <v>113000</v>
      </c>
      <c r="AK123" s="78">
        <f t="shared" si="143"/>
        <v>113000</v>
      </c>
      <c r="AL123" s="78">
        <f t="shared" si="143"/>
        <v>113000</v>
      </c>
    </row>
    <row r="124" spans="1:50" x14ac:dyDescent="0.25">
      <c r="A124" s="245" t="s">
        <v>115</v>
      </c>
      <c r="B124" s="245">
        <f>IF(C3=1,B121,IF(C3=2,B122,B123))</f>
        <v>1</v>
      </c>
      <c r="C124" s="245"/>
      <c r="D124" s="245"/>
      <c r="E124" s="245"/>
      <c r="F124" s="245"/>
      <c r="G124" s="245"/>
      <c r="H124" s="245"/>
      <c r="I124" s="245"/>
      <c r="J124" s="245"/>
      <c r="K124" s="245"/>
      <c r="M124" s="78" t="s">
        <v>681</v>
      </c>
      <c r="O124" s="78">
        <f>IF('2019 Full Cash Budget'!C40&lt;0,1000*ROUNDUP(-'2019 Full Cash Budget'!C40*0.001,0),0)</f>
        <v>8000</v>
      </c>
      <c r="P124" s="78">
        <f>IF('2019 Full Cash Budget'!D40&lt;0,1000*ROUNDUP(-'2019 Full Cash Budget'!D40*0.001,0),0)</f>
        <v>26000</v>
      </c>
      <c r="Q124" s="78">
        <f>IF('2019 Full Cash Budget'!E40&lt;0,1000*ROUNDUP(-'2019 Full Cash Budget'!E40*0.001,0),0)</f>
        <v>18000</v>
      </c>
      <c r="R124" s="78">
        <f>IF('2019 Full Cash Budget'!F40&lt;0,1000*ROUNDUP(-'2019 Full Cash Budget'!F40*0.001,0),0)</f>
        <v>11000</v>
      </c>
      <c r="S124" s="78">
        <f>IF('2019 Full Cash Budget'!G40&lt;0,1000*ROUNDUP(-'2019 Full Cash Budget'!G40*0.001,0),0)</f>
        <v>0</v>
      </c>
      <c r="T124" s="78">
        <f>IF('2019 Full Cash Budget'!H40&lt;0,1000*ROUNDUP(-'2019 Full Cash Budget'!H40*0.001,0),0)</f>
        <v>0</v>
      </c>
      <c r="U124" s="78">
        <f>IF('2019 Full Cash Budget'!I40&lt;0,1000*ROUNDUP(-'2019 Full Cash Budget'!I40*0.001,0),0)</f>
        <v>0</v>
      </c>
      <c r="V124" s="78">
        <f>IF('2019 Full Cash Budget'!J40&lt;0,1000*ROUNDUP(-'2019 Full Cash Budget'!J40*0.001,0),0)</f>
        <v>0</v>
      </c>
      <c r="W124" s="78">
        <f>IF('2019 Full Cash Budget'!K40&lt;0,1000*ROUNDUP(-'2019 Full Cash Budget'!K40*0.001,0),0)</f>
        <v>0</v>
      </c>
      <c r="X124" s="78">
        <f>IF('2019 Full Cash Budget'!L40&lt;0,1000*ROUNDUP(-'2019 Full Cash Budget'!L40*0.001,0),0)</f>
        <v>0</v>
      </c>
      <c r="Y124" s="78">
        <f>IF('2019 Full Cash Budget'!M40&lt;0,1000*ROUNDUP(-'2019 Full Cash Budget'!M40*0.001,0),0)</f>
        <v>0</v>
      </c>
      <c r="Z124" s="78">
        <f>IF('2019 Full Cash Budget'!N40&lt;0,1000*ROUNDUP(-'2019 Full Cash Budget'!N40*0.001,0),0)</f>
        <v>0</v>
      </c>
      <c r="AA124" s="78">
        <f>IF('2020 Cash Budget'!C38&lt;0,1000*ROUNDUP(-'2020 Cash Budget'!C38/1000,0),0)</f>
        <v>0</v>
      </c>
      <c r="AB124" s="78">
        <f>IF('2020 Cash Budget'!D38&lt;0,1000*ROUNDUP(-'2020 Cash Budget'!D38/1000,0),0)</f>
        <v>0</v>
      </c>
      <c r="AC124" s="78">
        <f>IF('2020 Cash Budget'!E38&lt;0,1000*ROUNDUP(-'2020 Cash Budget'!E38/1000,0),0)</f>
        <v>0</v>
      </c>
      <c r="AD124" s="78">
        <f>IF('2020 Cash Budget'!F38&lt;0,1000*ROUNDUP(-'2020 Cash Budget'!F38/1000,0),0)</f>
        <v>0</v>
      </c>
      <c r="AE124" s="78">
        <f>IF('2020 Cash Budget'!G38&lt;0,1000*ROUNDUP(-'2020 Cash Budget'!G38/1000,0),0)</f>
        <v>0</v>
      </c>
      <c r="AF124" s="78">
        <f>IF('2020 Cash Budget'!H38&lt;0,1000*ROUNDUP(-'2020 Cash Budget'!H38/1000,0),0)</f>
        <v>0</v>
      </c>
      <c r="AG124" s="78">
        <f>IF('2020 Cash Budget'!I38&lt;0,1000*ROUNDUP(-'2020 Cash Budget'!I38/1000,0),0)</f>
        <v>0</v>
      </c>
      <c r="AH124" s="78">
        <f>IF('2020 Cash Budget'!J38&lt;0,1000*ROUNDUP(-'2020 Cash Budget'!J38/1000,0),0)</f>
        <v>0</v>
      </c>
      <c r="AI124" s="78">
        <f>IF('2020 Cash Budget'!K38&lt;0,1000*ROUNDUP(-'2020 Cash Budget'!K38/1000,0),0)</f>
        <v>0</v>
      </c>
      <c r="AJ124" s="78">
        <f>IF('2020 Cash Budget'!L38&lt;0,1000*ROUNDUP(-'2020 Cash Budget'!L38/1000,0),0)</f>
        <v>0</v>
      </c>
      <c r="AK124" s="78">
        <f>IF('2020 Cash Budget'!M38&lt;0,1000*ROUNDUP(-'2020 Cash Budget'!M38/1000,0),0)</f>
        <v>0</v>
      </c>
      <c r="AL124" s="78">
        <f>IF('2020 Cash Budget'!N38&lt;0,1000*ROUNDUP(-'2020 Cash Budget'!N38/1000,0),0)</f>
        <v>0</v>
      </c>
    </row>
    <row r="125" spans="1:50" x14ac:dyDescent="0.25">
      <c r="A125" s="245"/>
      <c r="B125" s="245"/>
      <c r="C125" s="245"/>
      <c r="D125" s="245"/>
      <c r="E125" s="245"/>
      <c r="F125" s="245"/>
      <c r="G125" s="245"/>
      <c r="H125" s="245"/>
      <c r="I125" s="245"/>
      <c r="J125" s="245"/>
      <c r="K125" s="245"/>
      <c r="M125" s="78" t="s">
        <v>682</v>
      </c>
      <c r="N125" s="78">
        <f>SUM(N123:N124)</f>
        <v>50000</v>
      </c>
      <c r="O125" s="78">
        <f>SUM(O123:O124)</f>
        <v>58000</v>
      </c>
      <c r="P125" s="78">
        <f t="shared" ref="P125:Z125" si="144">SUM(P123:P124)</f>
        <v>84000</v>
      </c>
      <c r="Q125" s="78">
        <f t="shared" si="144"/>
        <v>102000</v>
      </c>
      <c r="R125" s="78">
        <f t="shared" si="144"/>
        <v>113000</v>
      </c>
      <c r="S125" s="78">
        <f t="shared" si="144"/>
        <v>113000</v>
      </c>
      <c r="T125" s="78">
        <f t="shared" si="144"/>
        <v>113000</v>
      </c>
      <c r="U125" s="78">
        <f t="shared" si="144"/>
        <v>113000</v>
      </c>
      <c r="V125" s="78">
        <f t="shared" si="144"/>
        <v>113000</v>
      </c>
      <c r="W125" s="78">
        <f t="shared" si="144"/>
        <v>113000</v>
      </c>
      <c r="X125" s="78">
        <f t="shared" si="144"/>
        <v>113000</v>
      </c>
      <c r="Y125" s="78">
        <f t="shared" si="144"/>
        <v>113000</v>
      </c>
      <c r="Z125" s="78">
        <f t="shared" si="144"/>
        <v>113000</v>
      </c>
      <c r="AA125" s="78">
        <f t="shared" ref="AA125:AL125" si="145">SUM(AA123:AA124)</f>
        <v>113000</v>
      </c>
      <c r="AB125" s="78">
        <f t="shared" si="145"/>
        <v>113000</v>
      </c>
      <c r="AC125" s="78">
        <f t="shared" si="145"/>
        <v>113000</v>
      </c>
      <c r="AD125" s="78">
        <f t="shared" si="145"/>
        <v>113000</v>
      </c>
      <c r="AE125" s="78">
        <f t="shared" si="145"/>
        <v>113000</v>
      </c>
      <c r="AF125" s="78">
        <f t="shared" si="145"/>
        <v>113000</v>
      </c>
      <c r="AG125" s="78">
        <f t="shared" si="145"/>
        <v>113000</v>
      </c>
      <c r="AH125" s="78">
        <f t="shared" si="145"/>
        <v>113000</v>
      </c>
      <c r="AI125" s="78">
        <f t="shared" si="145"/>
        <v>113000</v>
      </c>
      <c r="AJ125" s="78">
        <f t="shared" si="145"/>
        <v>113000</v>
      </c>
      <c r="AK125" s="78">
        <f t="shared" si="145"/>
        <v>113000</v>
      </c>
      <c r="AL125" s="78">
        <f t="shared" si="145"/>
        <v>113000</v>
      </c>
    </row>
    <row r="126" spans="1:50" x14ac:dyDescent="0.25">
      <c r="A126" s="245"/>
      <c r="B126" s="245"/>
      <c r="C126" s="245"/>
      <c r="D126" s="245"/>
      <c r="E126" s="245"/>
      <c r="F126" s="245"/>
      <c r="G126" s="245"/>
      <c r="H126" s="245"/>
      <c r="I126" s="245"/>
      <c r="J126" s="245"/>
      <c r="K126" s="245"/>
      <c r="M126" s="78" t="s">
        <v>684</v>
      </c>
      <c r="N126" s="78">
        <f>ROUND(N125/$B$30,2)</f>
        <v>1489.58</v>
      </c>
      <c r="O126" s="78">
        <f t="shared" ref="O126:Z126" si="146">ROUND(O125/$B$30,2)</f>
        <v>1727.91</v>
      </c>
      <c r="P126" s="78">
        <f t="shared" si="146"/>
        <v>2502.5</v>
      </c>
      <c r="Q126" s="78">
        <f t="shared" si="146"/>
        <v>3038.74</v>
      </c>
      <c r="R126" s="78">
        <f t="shared" si="146"/>
        <v>3366.45</v>
      </c>
      <c r="S126" s="78">
        <f t="shared" si="146"/>
        <v>3366.45</v>
      </c>
      <c r="T126" s="78">
        <f t="shared" si="146"/>
        <v>3366.45</v>
      </c>
      <c r="U126" s="78">
        <f t="shared" si="146"/>
        <v>3366.45</v>
      </c>
      <c r="V126" s="78">
        <f t="shared" si="146"/>
        <v>3366.45</v>
      </c>
      <c r="W126" s="78">
        <f t="shared" si="146"/>
        <v>3366.45</v>
      </c>
      <c r="X126" s="78">
        <f t="shared" si="146"/>
        <v>3366.45</v>
      </c>
      <c r="Y126" s="78">
        <f t="shared" si="146"/>
        <v>3366.45</v>
      </c>
      <c r="Z126" s="78">
        <f t="shared" si="146"/>
        <v>3366.45</v>
      </c>
      <c r="AA126" s="78">
        <f t="shared" ref="AA126:AK126" si="147">ROUND(AA125/$B$30,2)</f>
        <v>3366.45</v>
      </c>
      <c r="AB126" s="78">
        <f t="shared" si="147"/>
        <v>3366.45</v>
      </c>
      <c r="AC126" s="78">
        <f t="shared" si="147"/>
        <v>3366.45</v>
      </c>
      <c r="AD126" s="78">
        <f t="shared" si="147"/>
        <v>3366.45</v>
      </c>
      <c r="AE126" s="78">
        <f t="shared" si="147"/>
        <v>3366.45</v>
      </c>
      <c r="AF126" s="78">
        <f t="shared" si="147"/>
        <v>3366.45</v>
      </c>
      <c r="AG126" s="78">
        <f t="shared" si="147"/>
        <v>3366.45</v>
      </c>
      <c r="AH126" s="78">
        <f t="shared" si="147"/>
        <v>3366.45</v>
      </c>
      <c r="AI126" s="78">
        <f t="shared" si="147"/>
        <v>3366.45</v>
      </c>
      <c r="AJ126" s="78">
        <f t="shared" si="147"/>
        <v>3366.45</v>
      </c>
      <c r="AK126" s="78">
        <f t="shared" si="147"/>
        <v>3366.45</v>
      </c>
    </row>
    <row r="127" spans="1:50" x14ac:dyDescent="0.25">
      <c r="M127" s="78" t="s">
        <v>686</v>
      </c>
      <c r="N127" s="78">
        <f>ROUND(($B$29/1200)*N125,2)</f>
        <v>191.67</v>
      </c>
      <c r="O127" s="78">
        <f t="shared" ref="O127:Z127" si="148">ROUND(($B$29/1200)*O125,2)</f>
        <v>222.33</v>
      </c>
      <c r="P127" s="78">
        <f t="shared" si="148"/>
        <v>322</v>
      </c>
      <c r="Q127" s="78">
        <f t="shared" si="148"/>
        <v>391</v>
      </c>
      <c r="R127" s="78">
        <f t="shared" si="148"/>
        <v>433.17</v>
      </c>
      <c r="S127" s="78">
        <f t="shared" si="148"/>
        <v>433.17</v>
      </c>
      <c r="T127" s="78">
        <f t="shared" si="148"/>
        <v>433.17</v>
      </c>
      <c r="U127" s="78">
        <f t="shared" si="148"/>
        <v>433.17</v>
      </c>
      <c r="V127" s="78">
        <f t="shared" si="148"/>
        <v>433.17</v>
      </c>
      <c r="W127" s="78">
        <f t="shared" si="148"/>
        <v>433.17</v>
      </c>
      <c r="X127" s="78">
        <f t="shared" si="148"/>
        <v>433.17</v>
      </c>
      <c r="Y127" s="78">
        <f t="shared" si="148"/>
        <v>433.17</v>
      </c>
      <c r="Z127" s="78">
        <f t="shared" si="148"/>
        <v>433.17</v>
      </c>
      <c r="AA127" s="78">
        <f t="shared" ref="AA127:AK127" si="149">ROUND(($B$29/1200)*AA125,2)</f>
        <v>433.17</v>
      </c>
      <c r="AB127" s="78">
        <f t="shared" si="149"/>
        <v>433.17</v>
      </c>
      <c r="AC127" s="78">
        <f t="shared" si="149"/>
        <v>433.17</v>
      </c>
      <c r="AD127" s="78">
        <f t="shared" si="149"/>
        <v>433.17</v>
      </c>
      <c r="AE127" s="78">
        <f t="shared" si="149"/>
        <v>433.17</v>
      </c>
      <c r="AF127" s="78">
        <f t="shared" si="149"/>
        <v>433.17</v>
      </c>
      <c r="AG127" s="78">
        <f t="shared" si="149"/>
        <v>433.17</v>
      </c>
      <c r="AH127" s="78">
        <f t="shared" si="149"/>
        <v>433.17</v>
      </c>
      <c r="AI127" s="78">
        <f t="shared" si="149"/>
        <v>433.17</v>
      </c>
      <c r="AJ127" s="78">
        <f t="shared" si="149"/>
        <v>433.17</v>
      </c>
      <c r="AK127" s="78">
        <f t="shared" si="149"/>
        <v>433.17</v>
      </c>
    </row>
    <row r="128" spans="1:50" x14ac:dyDescent="0.25">
      <c r="A128" s="78" t="s">
        <v>758</v>
      </c>
      <c r="C128" s="78" t="s">
        <v>759</v>
      </c>
      <c r="D128" s="78" t="s">
        <v>760</v>
      </c>
      <c r="E128" s="78" t="s">
        <v>761</v>
      </c>
      <c r="F128" s="78" t="s">
        <v>762</v>
      </c>
      <c r="G128" s="78" t="s">
        <v>760</v>
      </c>
      <c r="H128" s="78" t="s">
        <v>761</v>
      </c>
      <c r="M128" s="78" t="s">
        <v>690</v>
      </c>
      <c r="N128" s="78">
        <f>ROUND(N126-N127,2)</f>
        <v>1297.9100000000001</v>
      </c>
      <c r="O128" s="78">
        <f t="shared" ref="O128:Y128" si="150">ROUND(O126-O127,2)</f>
        <v>1505.58</v>
      </c>
      <c r="P128" s="78">
        <f t="shared" si="150"/>
        <v>2180.5</v>
      </c>
      <c r="Q128" s="78">
        <f t="shared" si="150"/>
        <v>2647.74</v>
      </c>
      <c r="R128" s="78">
        <f t="shared" si="150"/>
        <v>2933.28</v>
      </c>
      <c r="S128" s="78">
        <f t="shared" si="150"/>
        <v>2933.28</v>
      </c>
      <c r="T128" s="78">
        <f t="shared" si="150"/>
        <v>2933.28</v>
      </c>
      <c r="U128" s="78">
        <f t="shared" si="150"/>
        <v>2933.28</v>
      </c>
      <c r="V128" s="78">
        <f t="shared" si="150"/>
        <v>2933.28</v>
      </c>
      <c r="W128" s="78">
        <f t="shared" si="150"/>
        <v>2933.28</v>
      </c>
      <c r="X128" s="78">
        <f t="shared" si="150"/>
        <v>2933.28</v>
      </c>
      <c r="Y128" s="78">
        <f t="shared" si="150"/>
        <v>2933.28</v>
      </c>
      <c r="Z128" s="78">
        <f>ROUND(Z126-Z127,2)</f>
        <v>2933.28</v>
      </c>
      <c r="AA128" s="78">
        <f>ROUND(AA126-AA127,2)</f>
        <v>2933.28</v>
      </c>
      <c r="AB128" s="78">
        <f t="shared" ref="AB128:AD128" si="151">ROUND(AB126-AB127,2)</f>
        <v>2933.28</v>
      </c>
      <c r="AC128" s="78">
        <f t="shared" si="151"/>
        <v>2933.28</v>
      </c>
      <c r="AD128" s="78">
        <f t="shared" si="151"/>
        <v>2933.28</v>
      </c>
      <c r="AE128" s="78">
        <f t="shared" ref="AE128" si="152">ROUND(AE126-AE127,2)</f>
        <v>2933.28</v>
      </c>
      <c r="AF128" s="78">
        <f t="shared" ref="AF128:AG128" si="153">ROUND(AF126-AF127,2)</f>
        <v>2933.28</v>
      </c>
      <c r="AG128" s="78">
        <f t="shared" si="153"/>
        <v>2933.28</v>
      </c>
      <c r="AH128" s="78">
        <f t="shared" ref="AH128" si="154">ROUND(AH126-AH127,2)</f>
        <v>2933.28</v>
      </c>
      <c r="AI128" s="78">
        <f t="shared" ref="AI128:AJ128" si="155">ROUND(AI126-AI127,2)</f>
        <v>2933.28</v>
      </c>
      <c r="AJ128" s="78">
        <f t="shared" si="155"/>
        <v>2933.28</v>
      </c>
      <c r="AK128" s="78">
        <f t="shared" ref="AK128" si="156">ROUND(AK126-AK127,2)</f>
        <v>2933.28</v>
      </c>
    </row>
    <row r="129" spans="1:37" x14ac:dyDescent="0.25">
      <c r="A129" s="78" t="s">
        <v>515</v>
      </c>
      <c r="C129" s="78">
        <f>ROUND('2019 Inc Statement'!F36/'2019 Inc Statement'!F10,4)</f>
        <v>0.10050000000000001</v>
      </c>
      <c r="D129" s="78" t="str">
        <f>IF(ISBLANK('2019 Ratio Analysis'!E5),"",'2019 Ratio Analysis'!E5)</f>
        <v/>
      </c>
      <c r="E129" s="78">
        <f t="shared" ref="E129:E132" si="157">IF(C129=D129,1,0)</f>
        <v>0</v>
      </c>
      <c r="F129" s="78">
        <f>ROUND('2020 Inc Statement'!E39/'2020 Inc Statement'!E10,4)</f>
        <v>-0.41489999999999999</v>
      </c>
      <c r="G129" s="78" t="str">
        <f>IF(ISBLANK('2020 Ratio Analysis'!E5),"",'2020 Ratio Analysis'!E5)</f>
        <v/>
      </c>
      <c r="H129" s="78">
        <f t="shared" ref="H129:H132" si="158">IF(F129=G129,1,0)</f>
        <v>0</v>
      </c>
      <c r="Y129" s="78" t="s">
        <v>689</v>
      </c>
      <c r="AK129" s="78" t="s">
        <v>689</v>
      </c>
    </row>
    <row r="130" spans="1:37" x14ac:dyDescent="0.25">
      <c r="A130" s="78" t="s">
        <v>516</v>
      </c>
      <c r="C130" s="78">
        <f>ROUND('2019 Inc Statement'!F12/'2019 Inc Statement'!F10,4)</f>
        <v>0.60440000000000005</v>
      </c>
      <c r="D130" s="78" t="str">
        <f>IF(ISBLANK('2019 Ratio Analysis'!E6),"",'2019 Ratio Analysis'!E6)</f>
        <v/>
      </c>
      <c r="E130" s="78">
        <f t="shared" si="157"/>
        <v>0</v>
      </c>
      <c r="F130" s="78">
        <f>ROUND('2020 Inc Statement'!E12/'2020 Inc Statement'!E10,4)</f>
        <v>0.63200000000000001</v>
      </c>
      <c r="G130" s="78" t="str">
        <f>IF(ISBLANK('2020 Ratio Analysis'!E6),"",'2020 Ratio Analysis'!E6)</f>
        <v/>
      </c>
      <c r="H130" s="78">
        <f t="shared" si="158"/>
        <v>0</v>
      </c>
      <c r="Y130" s="78">
        <f>ROUND(SUM(N127:Y127),2)</f>
        <v>4592.3599999999997</v>
      </c>
      <c r="AK130" s="78">
        <f>ROUND(SUM(Z127:AK127),2)</f>
        <v>5198.04</v>
      </c>
    </row>
    <row r="131" spans="1:37" x14ac:dyDescent="0.25">
      <c r="A131" s="78" t="s">
        <v>517</v>
      </c>
      <c r="C131" s="78">
        <f>ROUND('2019 Inc Statement'!F36/'2019 Bal Sheet'!E23,4)</f>
        <v>0.4476</v>
      </c>
      <c r="D131" s="78" t="str">
        <f>IF(ISBLANK('2019 Ratio Analysis'!E7),"",'2019 Ratio Analysis'!E7)</f>
        <v/>
      </c>
      <c r="E131" s="78">
        <f t="shared" si="157"/>
        <v>0</v>
      </c>
      <c r="F131" s="78">
        <f>ROUND('2020 Inc Statement'!E39/'2020 Bal Sheet'!E23,4)</f>
        <v>-1.4168000000000001</v>
      </c>
      <c r="G131" s="78" t="str">
        <f>IF(ISBLANK('2020 Ratio Analysis'!E7),"",'2020 Ratio Analysis'!E7)</f>
        <v/>
      </c>
      <c r="H131" s="78">
        <f t="shared" si="158"/>
        <v>0</v>
      </c>
      <c r="Y131" s="78" t="s">
        <v>691</v>
      </c>
      <c r="AK131" s="78" t="s">
        <v>691</v>
      </c>
    </row>
    <row r="132" spans="1:37" x14ac:dyDescent="0.25">
      <c r="A132" s="78" t="s">
        <v>518</v>
      </c>
      <c r="C132" s="78">
        <f>ROUND('2019 Inc Statement'!F36/'2019 Bal Sheet'!E48,4)</f>
        <v>0.74109999999999998</v>
      </c>
      <c r="D132" s="78" t="str">
        <f>IF(ISBLANK('2019 Ratio Analysis'!E8),"",'2019 Ratio Analysis'!E8)</f>
        <v/>
      </c>
      <c r="E132" s="78">
        <f t="shared" si="157"/>
        <v>0</v>
      </c>
      <c r="F132" s="78">
        <f>ROUND('2020 Inc Statement'!E39/'2020 Bal Sheet'!E50,4)</f>
        <v>-2.7704</v>
      </c>
      <c r="G132" s="78" t="str">
        <f>IF(ISBLANK('2020 Ratio Analysis'!E8),"",'2020 Ratio Analysis'!E8)</f>
        <v/>
      </c>
      <c r="H132" s="78">
        <f t="shared" si="158"/>
        <v>0</v>
      </c>
      <c r="Y132" s="78">
        <f>ROUND(Y125-SUM(N128:Y128),2)</f>
        <v>81902.03</v>
      </c>
      <c r="AK132" s="78">
        <f>ROUND(Y132-SUM(Z128:AK128)+SUM(Z124:AK124),2)</f>
        <v>46702.67</v>
      </c>
    </row>
    <row r="133" spans="1:37" x14ac:dyDescent="0.25">
      <c r="A133" s="78" t="s">
        <v>519</v>
      </c>
      <c r="C133" s="78">
        <f>ROUND('2019 Inc Statement'!F10/'2019 Bal Sheet'!E23,4)</f>
        <v>4.4528999999999996</v>
      </c>
      <c r="D133" s="78" t="str">
        <f>IF(ISBLANK('2019 Ratio Analysis'!E9),"",'2019 Ratio Analysis'!E9)</f>
        <v/>
      </c>
      <c r="E133" s="78">
        <f t="shared" ref="E133:E143" si="159">IF(C133=D133,1,0)</f>
        <v>0</v>
      </c>
      <c r="F133" s="78">
        <f>ROUND('2020 Inc Statement'!E10/'2020 Bal Sheet'!E23,4)</f>
        <v>3.4152</v>
      </c>
      <c r="G133" s="78" t="str">
        <f>IF(ISBLANK('2020 Ratio Analysis'!E9),"",'2020 Ratio Analysis'!E9)</f>
        <v/>
      </c>
      <c r="H133" s="78">
        <f t="shared" ref="H133:H143" si="160">IF(F133=G133,1,0)</f>
        <v>0</v>
      </c>
      <c r="Y133" s="78" t="s">
        <v>692</v>
      </c>
      <c r="AK133" s="78" t="s">
        <v>692</v>
      </c>
    </row>
    <row r="134" spans="1:37" x14ac:dyDescent="0.25">
      <c r="A134" s="78" t="s">
        <v>60</v>
      </c>
      <c r="C134" s="78">
        <f>ROUND('2019 Bal Sheet'!E11/'2019 Bal Sheet'!E34,4)</f>
        <v>2.6878000000000002</v>
      </c>
      <c r="D134" s="78" t="str">
        <f>IF(ISBLANK('2019 Ratio Analysis'!E11),"",'2019 Ratio Analysis'!E11)</f>
        <v/>
      </c>
      <c r="E134" s="78">
        <f t="shared" si="159"/>
        <v>0</v>
      </c>
      <c r="F134" s="78">
        <f>ROUND('2020 Bal Sheet'!E11/'2020 Bal Sheet'!E34,4)</f>
        <v>0.69159999999999999</v>
      </c>
      <c r="G134" s="78" t="str">
        <f>IF(ISBLANK('2020 Ratio Analysis'!E11),"",'2020 Ratio Analysis'!E11)</f>
        <v/>
      </c>
      <c r="H134" s="78">
        <f t="shared" si="160"/>
        <v>0</v>
      </c>
      <c r="Y134" s="78">
        <f>SUM(N128:Y128)</f>
        <v>31097.969999999994</v>
      </c>
      <c r="AK134" s="78">
        <f>ROUND(SUM(Z128:AK128),2)</f>
        <v>35199.360000000001</v>
      </c>
    </row>
    <row r="135" spans="1:37" x14ac:dyDescent="0.25">
      <c r="A135" s="78" t="s">
        <v>457</v>
      </c>
      <c r="C135" s="78">
        <f>ROUND(ROUND('2019 Bal Sheet'!E11,2)-ROUND('2019 Bal Sheet'!E34,2),4)</f>
        <v>289262.87</v>
      </c>
      <c r="D135" s="78" t="str">
        <f>IF(ISBLANK('2019 Ratio Analysis'!E12),"",'2019 Ratio Analysis'!E12)</f>
        <v/>
      </c>
      <c r="E135" s="78">
        <f t="shared" si="159"/>
        <v>0</v>
      </c>
      <c r="F135" s="78">
        <f>ROUND(ROUND('2020 Bal Sheet'!E11,2)-ROUND('2020 Bal Sheet'!E34,2),4)</f>
        <v>-15786.13</v>
      </c>
      <c r="G135" s="78" t="str">
        <f>IF(ISBLANK('2020 Ratio Analysis'!E12),"",'2020 Ratio Analysis'!E12)</f>
        <v/>
      </c>
      <c r="H135" s="78">
        <f t="shared" si="160"/>
        <v>0</v>
      </c>
      <c r="Y135" s="78" t="s">
        <v>693</v>
      </c>
      <c r="AK135" s="78" t="s">
        <v>693</v>
      </c>
    </row>
    <row r="136" spans="1:37" x14ac:dyDescent="0.25">
      <c r="A136" s="78" t="s">
        <v>520</v>
      </c>
      <c r="C136" s="78">
        <f>ROUND(('2019 Bal Sheet'!C8-'2019 Bal Sheet'!C27)/'2019 Bal Sheet'!E34,4)</f>
        <v>1.6496999999999999</v>
      </c>
      <c r="D136" s="78" t="str">
        <f>IF(ISBLANK('2019 Ratio Analysis'!E13),"",'2019 Ratio Analysis'!E13)</f>
        <v/>
      </c>
      <c r="E136" s="78">
        <f t="shared" si="159"/>
        <v>0</v>
      </c>
      <c r="F136" s="78">
        <f>ROUND(('2020 Bal Sheet'!C8-'2020 Bal Sheet'!C27)/'2020 Bal Sheet'!E34,4)</f>
        <v>0.69159999999999999</v>
      </c>
      <c r="G136" s="78" t="str">
        <f>IF(ISBLANK('2020 Ratio Analysis'!E13),"",'2020 Ratio Analysis'!E13)</f>
        <v/>
      </c>
      <c r="H136" s="78">
        <f t="shared" si="160"/>
        <v>0</v>
      </c>
      <c r="Y136" s="78">
        <f>SUM(N126:Y126)</f>
        <v>35690.33</v>
      </c>
      <c r="AK136" s="78">
        <f>ROUND(SUM(Z126:AK126),2)</f>
        <v>40397.4</v>
      </c>
    </row>
    <row r="137" spans="1:37" x14ac:dyDescent="0.25">
      <c r="A137" s="78" t="s">
        <v>61</v>
      </c>
      <c r="C137" s="78">
        <f>ROUND(('2019 Bal Sheet'!C8-'2019 Bal Sheet'!C27+'2019 Bal Sheet'!C9)/'2019 Bal Sheet'!E34,4)</f>
        <v>2.5103</v>
      </c>
      <c r="D137" s="78" t="str">
        <f>IF(ISBLANK('2019 Ratio Analysis'!E14),"",'2019 Ratio Analysis'!E14)</f>
        <v/>
      </c>
      <c r="E137" s="78">
        <f t="shared" si="159"/>
        <v>0</v>
      </c>
      <c r="F137" s="78">
        <f>ROUND(('2020 Bal Sheet'!C8-'2020 Bal Sheet'!C27+'2020 Bal Sheet'!C9)/'2020 Bal Sheet'!E34,4)</f>
        <v>0.69159999999999999</v>
      </c>
      <c r="G137" s="78" t="str">
        <f>IF(ISBLANK('2020 Ratio Analysis'!E14),"",'2020 Ratio Analysis'!E14)</f>
        <v/>
      </c>
      <c r="H137" s="78">
        <f t="shared" si="160"/>
        <v>0</v>
      </c>
    </row>
    <row r="138" spans="1:37" x14ac:dyDescent="0.25">
      <c r="A138" s="78" t="s">
        <v>586</v>
      </c>
      <c r="C138" s="78">
        <f>ROUND('2019 Schedule of AC'!P23/'2019 Schedule of AC'!P22,4)</f>
        <v>12</v>
      </c>
      <c r="D138" s="78" t="str">
        <f>IF(ISBLANK('2019 Ratio Analysis'!E15),"",'2019 Ratio Analysis'!E15)</f>
        <v/>
      </c>
      <c r="E138" s="78">
        <f t="shared" si="159"/>
        <v>0</v>
      </c>
      <c r="F138" s="78">
        <f>ROUND('2020 Schedule of AC'!P25/'2020 Schedule of AC'!P24,4)</f>
        <v>12</v>
      </c>
      <c r="G138" s="78" t="str">
        <f>IF(ISBLANK('2020 Ratio Analysis'!E15),"",'2020 Ratio Analysis'!E15)</f>
        <v/>
      </c>
      <c r="H138" s="78">
        <f t="shared" si="160"/>
        <v>0</v>
      </c>
    </row>
    <row r="139" spans="1:37" x14ac:dyDescent="0.25">
      <c r="A139" s="78" t="s">
        <v>601</v>
      </c>
      <c r="C139" s="78">
        <f>ROUND('2019 Inc Statement'!D11/'2019 Inventory Rpt'!O12,4)</f>
        <v>44.804900000000004</v>
      </c>
      <c r="D139" s="78" t="str">
        <f>IF(ISBLANK('2019 Ratio Analysis'!E16),"",'2019 Ratio Analysis'!E16)</f>
        <v/>
      </c>
      <c r="E139" s="78">
        <f t="shared" si="159"/>
        <v>0</v>
      </c>
      <c r="F139" s="78">
        <f>ROUND('2020 Inc Statement'!C11/'2020 Inventory Rpt'!O11,4)</f>
        <v>92.908100000000005</v>
      </c>
      <c r="G139" s="78" t="str">
        <f>IF(ISBLANK('2020 Ratio Analysis'!E16),"",'2020 Ratio Analysis'!E16)</f>
        <v/>
      </c>
      <c r="H139" s="78">
        <f t="shared" si="160"/>
        <v>0</v>
      </c>
    </row>
    <row r="140" spans="1:37" x14ac:dyDescent="0.25">
      <c r="A140" s="78" t="s">
        <v>218</v>
      </c>
      <c r="C140" s="78">
        <f>ROUND('2019 Bal Sheet'!E39/'2019 Bal Sheet'!E23,4)</f>
        <v>0.39600000000000002</v>
      </c>
      <c r="D140" s="78" t="str">
        <f>IF(ISBLANK('2019 Ratio Analysis'!E18),"",'2019 Ratio Analysis'!E18)</f>
        <v/>
      </c>
      <c r="E140" s="78">
        <f t="shared" si="159"/>
        <v>0</v>
      </c>
      <c r="F140" s="78">
        <f>ROUND('2020 Bal Sheet'!E39/'2020 Bal Sheet'!E23,4)</f>
        <v>0.48859999999999998</v>
      </c>
      <c r="G140" s="78" t="str">
        <f>IF(ISBLANK('2020 Ratio Analysis'!E18),"",'2020 Ratio Analysis'!E18)</f>
        <v/>
      </c>
      <c r="H140" s="78">
        <f t="shared" si="160"/>
        <v>0</v>
      </c>
    </row>
    <row r="141" spans="1:37" x14ac:dyDescent="0.25">
      <c r="A141" s="78" t="s">
        <v>219</v>
      </c>
      <c r="C141" s="78">
        <f>ROUND('2019 Bal Sheet'!E39/'2019 Bal Sheet'!E48,4)</f>
        <v>0.65569999999999995</v>
      </c>
      <c r="D141" s="78" t="str">
        <f>IF(ISBLANK('2019 Ratio Analysis'!E19),"",'2019 Ratio Analysis'!E19)</f>
        <v/>
      </c>
      <c r="E141" s="78">
        <f t="shared" si="159"/>
        <v>0</v>
      </c>
      <c r="F141" s="78">
        <f>ROUND('2020 Bal Sheet'!E39/'2020 Bal Sheet'!E50,4)</f>
        <v>0.95540000000000003</v>
      </c>
      <c r="G141" s="78" t="str">
        <f>IF(ISBLANK('2020 Ratio Analysis'!E19),"",'2020 Ratio Analysis'!E19)</f>
        <v/>
      </c>
      <c r="H141" s="78">
        <f t="shared" si="160"/>
        <v>0</v>
      </c>
    </row>
    <row r="142" spans="1:37" x14ac:dyDescent="0.25">
      <c r="A142" s="78" t="s">
        <v>221</v>
      </c>
      <c r="C142" s="78">
        <f>ROUND('2019 Bal Sheet'!E48/'2019 Bal Sheet'!E23,4)</f>
        <v>0.60399999999999998</v>
      </c>
      <c r="D142" s="78" t="str">
        <f>IF(ISBLANK('2019 Ratio Analysis'!E20),"",'2019 Ratio Analysis'!E20)</f>
        <v/>
      </c>
      <c r="E142" s="78">
        <f t="shared" si="159"/>
        <v>0</v>
      </c>
      <c r="F142" s="78">
        <f>ROUND('2020 Bal Sheet'!E50/'2020 Bal Sheet'!E23,4)</f>
        <v>0.51139999999999997</v>
      </c>
      <c r="G142" s="78" t="str">
        <f>IF(ISBLANK('2020 Ratio Analysis'!E20),"",'2020 Ratio Analysis'!E20)</f>
        <v/>
      </c>
      <c r="H142" s="78">
        <f t="shared" si="160"/>
        <v>0</v>
      </c>
    </row>
    <row r="143" spans="1:37" x14ac:dyDescent="0.25">
      <c r="A143" s="78" t="s">
        <v>676</v>
      </c>
      <c r="C143" s="78">
        <f>ROUND('2019 Inc Statement'!F32/'2019 Inc Statement'!D34,4)</f>
        <v>63.344099999999997</v>
      </c>
      <c r="D143" s="78" t="str">
        <f>IF(ISBLANK('2019 Ratio Analysis'!E21),"",'2019 Ratio Analysis'!E21)</f>
        <v/>
      </c>
      <c r="E143" s="78">
        <f t="shared" si="159"/>
        <v>0</v>
      </c>
      <c r="F143" s="78">
        <f>ROUND('2020 Inc Statement'!E35/'2020 Inc Statement'!C37,4)</f>
        <v>-53.607100000000003</v>
      </c>
      <c r="G143" s="78" t="str">
        <f>IF(ISBLANK('2020 Ratio Analysis'!E21),"",'2020 Ratio Analysis'!E21)</f>
        <v/>
      </c>
      <c r="H143" s="78">
        <f t="shared" si="160"/>
        <v>0</v>
      </c>
    </row>
    <row r="144" spans="1:37" x14ac:dyDescent="0.25">
      <c r="E144" s="78">
        <f>SUM(E129:E143)</f>
        <v>0</v>
      </c>
      <c r="H144" s="78">
        <f>SUM(H129:H143)</f>
        <v>0</v>
      </c>
    </row>
  </sheetData>
  <sheetProtection selectLockedCells="1" selectUnlockedCells="1"/>
  <mergeCells count="3">
    <mergeCell ref="J34:K34"/>
    <mergeCell ref="J35:K35"/>
    <mergeCell ref="J36:K3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R45"/>
  <sheetViews>
    <sheetView zoomScale="90" zoomScaleNormal="90" workbookViewId="0">
      <selection activeCell="B8" sqref="B8"/>
    </sheetView>
  </sheetViews>
  <sheetFormatPr defaultColWidth="8.85546875" defaultRowHeight="15" x14ac:dyDescent="0.25"/>
  <cols>
    <col min="1" max="2" width="8.85546875" style="1"/>
    <col min="3" max="3" width="21.7109375" style="1" customWidth="1"/>
    <col min="4" max="4" width="3" style="1" customWidth="1"/>
    <col min="5" max="5" width="8.85546875" style="1"/>
    <col min="6" max="6" width="15.7109375" style="1" customWidth="1"/>
    <col min="7" max="7" width="3.140625" style="1" customWidth="1"/>
    <col min="8" max="8" width="8.85546875" style="1"/>
    <col min="9" max="9" width="16.7109375" style="1" customWidth="1"/>
    <col min="10" max="10" width="3.140625" style="1" customWidth="1"/>
    <col min="11" max="11" width="8.85546875" style="1"/>
    <col min="12" max="12" width="15.5703125" style="1" customWidth="1"/>
    <col min="13" max="13" width="3" style="1" customWidth="1"/>
    <col min="14" max="14" width="8.85546875" style="1"/>
    <col min="15" max="15" width="4.28515625" style="1" customWidth="1"/>
    <col min="16" max="16" width="8.85546875" style="1"/>
    <col min="17" max="17" width="3" style="1" customWidth="1"/>
    <col min="18" max="16384" width="8.85546875" style="1"/>
  </cols>
  <sheetData>
    <row r="1" spans="1:17" ht="74.849999999999994" customHeight="1" x14ac:dyDescent="0.25"/>
    <row r="2" spans="1:17" ht="17.25" customHeight="1" x14ac:dyDescent="0.3">
      <c r="A2" s="252" t="s">
        <v>663</v>
      </c>
    </row>
    <row r="3" spans="1:17" ht="26.1" customHeight="1" x14ac:dyDescent="0.25">
      <c r="B3" s="340" t="str">
        <f>"How much will you charge for your " &amp;'(HIDE) Data Validation'!A7 &amp;"? A lower price may result in a boost to sales volume"</f>
        <v>How much will you charge for your Burgers? A lower price may result in a boost to sales volume</v>
      </c>
      <c r="C3" s="340"/>
      <c r="D3" s="340"/>
      <c r="E3" s="340"/>
      <c r="F3" s="340"/>
      <c r="G3" s="340"/>
      <c r="H3" s="340"/>
      <c r="I3" s="340"/>
      <c r="J3" s="340"/>
      <c r="K3" s="340"/>
      <c r="L3" s="340"/>
      <c r="M3" s="340"/>
      <c r="N3" s="340"/>
      <c r="O3" s="340"/>
      <c r="P3" s="340"/>
      <c r="Q3" s="340"/>
    </row>
    <row r="4" spans="1:17" ht="15.95" customHeight="1" x14ac:dyDescent="0.25">
      <c r="B4" s="344" t="s">
        <v>716</v>
      </c>
      <c r="C4" s="344"/>
      <c r="D4" s="344"/>
      <c r="E4" s="344"/>
      <c r="F4" s="344"/>
      <c r="G4" s="344"/>
      <c r="H4" s="344"/>
      <c r="I4" s="344"/>
      <c r="J4" s="344"/>
      <c r="K4" s="344"/>
      <c r="L4" s="344"/>
      <c r="M4" s="344"/>
      <c r="N4" s="344"/>
      <c r="O4" s="344"/>
      <c r="P4" s="344"/>
      <c r="Q4" s="344"/>
    </row>
    <row r="5" spans="1:17" ht="15" customHeight="1" x14ac:dyDescent="0.25">
      <c r="B5" s="344" t="s">
        <v>719</v>
      </c>
      <c r="C5" s="344"/>
      <c r="D5" s="344"/>
      <c r="E5" s="344"/>
      <c r="F5" s="344"/>
      <c r="G5" s="344"/>
      <c r="H5" s="344"/>
      <c r="I5" s="295"/>
      <c r="J5" s="294"/>
      <c r="K5" s="294"/>
      <c r="L5" s="294"/>
      <c r="M5" s="294"/>
      <c r="N5" s="294"/>
      <c r="O5" s="294"/>
      <c r="P5" s="294"/>
      <c r="Q5" s="294"/>
    </row>
    <row r="6" spans="1:17" ht="8.25" customHeight="1" thickBot="1" x14ac:dyDescent="0.3">
      <c r="I6" s="4"/>
    </row>
    <row r="7" spans="1:17" ht="15.4" customHeight="1" thickBot="1" x14ac:dyDescent="0.3">
      <c r="B7" s="174">
        <f>'(HIDE) Data Validation'!E4</f>
        <v>10</v>
      </c>
      <c r="F7" s="175" t="str">
        <f>IF('(HIDE) Data Validation'!C3=3,"NOTE: AS YOU ARE A FRANCHISE THIS IS FIXED AT $"&amp;'(HIDE) Data Validation'!G6,IF('(HIDE) Data Validation'!$E$5&lt;'(HIDE) Data Validation'!$G$4+1,"NOTE: PRICE TOO LOW vs INGREDIENTS &amp; HAVE BEEN AUTOMATICALLY INCREASED",""))</f>
        <v/>
      </c>
    </row>
    <row r="8" spans="1:17" x14ac:dyDescent="0.25">
      <c r="B8" s="293"/>
      <c r="C8" s="296" t="s">
        <v>715</v>
      </c>
    </row>
    <row r="9" spans="1:17" x14ac:dyDescent="0.25">
      <c r="B9" s="227" t="s">
        <v>600</v>
      </c>
    </row>
    <row r="10" spans="1:17" ht="14.25" customHeight="1" x14ac:dyDescent="0.25">
      <c r="B10" s="175"/>
    </row>
    <row r="11" spans="1:17" ht="18.75" x14ac:dyDescent="0.3">
      <c r="A11" s="252" t="s">
        <v>662</v>
      </c>
    </row>
    <row r="12" spans="1:17" ht="37.700000000000003" customHeight="1" x14ac:dyDescent="0.25">
      <c r="B12" s="343" t="str">
        <f>"How much will you spend on ingredients for each of your " &amp;'(HIDE) Data Validation'!A7 &amp;"? If there is too much of a discrepancy between ingredient spending and "&amp;'(HIDE) Data Validation'!A7 &amp;" cost, sales will be impacted, however well priced "&amp;'(HIDE) Data Validation'!A7 &amp;" with quality ingredients will boost sales volume "</f>
        <v xml:space="preserve">How much will you spend on ingredients for each of your Burgers? If there is too much of a discrepancy between ingredient spending and Burgers cost, sales will be impacted, however well priced Burgers with quality ingredients will boost sales volume </v>
      </c>
      <c r="C12" s="343"/>
      <c r="D12" s="343"/>
      <c r="E12" s="343"/>
      <c r="F12" s="343"/>
      <c r="G12" s="343"/>
      <c r="H12" s="343"/>
      <c r="I12" s="343"/>
      <c r="J12" s="343"/>
      <c r="K12" s="343"/>
      <c r="L12" s="343"/>
      <c r="M12" s="343"/>
      <c r="N12" s="343"/>
      <c r="O12" s="343"/>
      <c r="P12" s="343"/>
      <c r="Q12" s="343"/>
    </row>
    <row r="13" spans="1:17" x14ac:dyDescent="0.25">
      <c r="B13" s="93" t="s">
        <v>456</v>
      </c>
      <c r="C13" s="9"/>
      <c r="D13" s="9"/>
      <c r="E13" s="9"/>
      <c r="H13" s="9"/>
      <c r="I13" s="9"/>
      <c r="J13" s="9"/>
      <c r="K13" s="9"/>
      <c r="L13" s="9"/>
      <c r="M13" s="9"/>
      <c r="N13" s="9"/>
      <c r="O13" s="9"/>
      <c r="P13" s="9"/>
      <c r="Q13" s="9"/>
    </row>
    <row r="14" spans="1:17" ht="8.25" customHeight="1" thickBot="1" x14ac:dyDescent="0.3">
      <c r="B14" s="8"/>
      <c r="C14" s="8"/>
      <c r="D14" s="8"/>
      <c r="E14" s="8"/>
      <c r="F14" s="8"/>
      <c r="G14" s="8"/>
      <c r="H14" s="8"/>
      <c r="I14" s="8"/>
      <c r="J14" s="8"/>
      <c r="K14" s="8"/>
      <c r="L14" s="8"/>
      <c r="M14" s="8"/>
      <c r="N14" s="8"/>
      <c r="O14" s="8"/>
      <c r="P14" s="8"/>
      <c r="Q14" s="8"/>
    </row>
    <row r="15" spans="1:17" ht="18.75" customHeight="1" thickBot="1" x14ac:dyDescent="0.4">
      <c r="B15" s="174">
        <f>'(HIDE) Data Validation'!G4</f>
        <v>4</v>
      </c>
      <c r="F15" s="176" t="str">
        <f>IF('(HIDE) Data Validation'!C3=3,"NOTE: AS YOU ARE A FRANCHISE THIS IS FIXED AT $"&amp;'(HIDE) Data Validation'!G7,"")</f>
        <v/>
      </c>
    </row>
    <row r="16" spans="1:17" ht="15" customHeight="1" x14ac:dyDescent="0.25">
      <c r="B16" s="293"/>
      <c r="C16" s="296" t="s">
        <v>715</v>
      </c>
    </row>
    <row r="17" spans="1:18" ht="9.6" customHeight="1" x14ac:dyDescent="0.25">
      <c r="B17" s="342"/>
      <c r="C17" s="342"/>
      <c r="D17" s="342"/>
      <c r="E17" s="342"/>
      <c r="F17" s="342"/>
      <c r="G17" s="342"/>
      <c r="H17" s="342"/>
      <c r="I17" s="342"/>
      <c r="J17" s="342"/>
      <c r="K17" s="342"/>
      <c r="L17" s="342"/>
      <c r="M17" s="342"/>
      <c r="N17" s="342"/>
      <c r="O17" s="342"/>
      <c r="P17" s="342"/>
      <c r="Q17" s="342"/>
    </row>
    <row r="18" spans="1:18" ht="11.1" customHeight="1" x14ac:dyDescent="0.25">
      <c r="B18" s="93"/>
      <c r="C18" s="9"/>
      <c r="D18" s="9"/>
      <c r="E18" s="9"/>
      <c r="F18" s="9"/>
      <c r="G18" s="9"/>
      <c r="H18" s="9"/>
      <c r="I18" s="9"/>
      <c r="J18" s="9"/>
      <c r="K18" s="9"/>
      <c r="L18" s="9"/>
      <c r="M18" s="9"/>
      <c r="N18" s="9"/>
      <c r="O18" s="9"/>
      <c r="P18" s="9"/>
      <c r="Q18" s="9"/>
    </row>
    <row r="19" spans="1:18" ht="18.75" x14ac:dyDescent="0.3">
      <c r="A19" s="252" t="s">
        <v>664</v>
      </c>
    </row>
    <row r="20" spans="1:18" x14ac:dyDescent="0.25">
      <c r="B20" s="340" t="s">
        <v>742</v>
      </c>
      <c r="C20" s="340"/>
      <c r="D20" s="340"/>
      <c r="E20" s="340"/>
      <c r="F20" s="340"/>
      <c r="G20" s="340"/>
      <c r="H20" s="340"/>
      <c r="I20" s="340"/>
      <c r="J20" s="340"/>
      <c r="K20" s="340"/>
      <c r="L20" s="340"/>
      <c r="M20" s="340"/>
      <c r="N20" s="340"/>
      <c r="O20" s="340"/>
      <c r="P20" s="340"/>
    </row>
    <row r="21" spans="1:18" x14ac:dyDescent="0.25">
      <c r="B21" s="340"/>
      <c r="C21" s="340"/>
      <c r="D21" s="340"/>
      <c r="E21" s="340"/>
      <c r="F21" s="340"/>
      <c r="G21" s="340"/>
      <c r="H21" s="340"/>
      <c r="I21" s="340"/>
      <c r="J21" s="340"/>
      <c r="K21" s="340"/>
      <c r="L21" s="340"/>
      <c r="M21" s="340"/>
      <c r="N21" s="340"/>
      <c r="O21" s="340"/>
      <c r="P21" s="340"/>
    </row>
    <row r="22" spans="1:18" ht="17.25" customHeight="1" x14ac:dyDescent="0.25">
      <c r="B22" s="340"/>
      <c r="C22" s="340"/>
      <c r="D22" s="340"/>
      <c r="E22" s="340"/>
      <c r="F22" s="340"/>
      <c r="G22" s="340"/>
      <c r="H22" s="340"/>
      <c r="I22" s="340"/>
      <c r="J22" s="340"/>
      <c r="K22" s="340"/>
      <c r="L22" s="340"/>
      <c r="M22" s="340"/>
      <c r="N22" s="340"/>
      <c r="O22" s="340"/>
      <c r="P22" s="340"/>
      <c r="Q22" s="8"/>
    </row>
    <row r="23" spans="1:18" x14ac:dyDescent="0.25">
      <c r="B23" s="93" t="s">
        <v>718</v>
      </c>
      <c r="C23" s="9"/>
      <c r="D23" s="9"/>
      <c r="E23" s="9"/>
      <c r="F23" s="9"/>
      <c r="G23" s="93"/>
      <c r="H23" s="9"/>
      <c r="I23" s="9"/>
      <c r="J23" s="9"/>
      <c r="K23" s="9"/>
      <c r="L23" s="9"/>
      <c r="M23" s="9"/>
      <c r="N23" s="9"/>
      <c r="O23" s="9"/>
      <c r="P23" s="9"/>
      <c r="Q23" s="9"/>
    </row>
    <row r="24" spans="1:18" x14ac:dyDescent="0.25">
      <c r="B24" s="93" t="s">
        <v>717</v>
      </c>
      <c r="C24" s="9"/>
      <c r="D24" s="9"/>
      <c r="E24" s="9"/>
      <c r="F24" s="9"/>
      <c r="G24" s="9"/>
      <c r="H24" s="9"/>
      <c r="I24" s="9"/>
      <c r="J24" s="9"/>
      <c r="K24" s="9"/>
      <c r="L24" s="9"/>
      <c r="M24" s="9"/>
      <c r="N24" s="9"/>
      <c r="O24" s="9"/>
      <c r="P24" s="9"/>
      <c r="Q24" s="9"/>
    </row>
    <row r="25" spans="1:18" ht="9.1999999999999993" customHeight="1" thickBot="1" x14ac:dyDescent="0.3"/>
    <row r="26" spans="1:18" ht="15.75" thickBot="1" x14ac:dyDescent="0.3">
      <c r="B26" s="152" t="str">
        <f>"$"&amp;'(HIDE) Data Validation'!K3&amp;"/hr"</f>
        <v>$32/hr</v>
      </c>
      <c r="F26" s="1" t="str">
        <f>'(HIDE) Data Validation'!K6&amp;"% boost to base sales (Additive with other factors)"</f>
        <v>0% boost to base sales (Additive with other factors)</v>
      </c>
    </row>
    <row r="27" spans="1:18" x14ac:dyDescent="0.25">
      <c r="B27" s="293"/>
      <c r="C27" s="296" t="s">
        <v>715</v>
      </c>
    </row>
    <row r="29" spans="1:18" ht="14.85" customHeight="1" x14ac:dyDescent="0.3">
      <c r="A29" s="252" t="s">
        <v>531</v>
      </c>
      <c r="C29" s="8"/>
      <c r="D29" s="8"/>
      <c r="E29" s="8"/>
      <c r="F29" s="8"/>
      <c r="G29" s="8"/>
      <c r="H29" s="8"/>
      <c r="I29" s="8"/>
      <c r="J29" s="8"/>
      <c r="K29" s="8"/>
      <c r="L29" s="8"/>
      <c r="M29" s="8"/>
      <c r="N29" s="8"/>
      <c r="O29" s="8"/>
      <c r="P29" s="8"/>
      <c r="Q29" s="8"/>
      <c r="R29" s="8"/>
    </row>
    <row r="30" spans="1:18" ht="48.4" customHeight="1" x14ac:dyDescent="0.25">
      <c r="B30" s="340" t="str">
        <f>"You will need equipment for your kitchens. After approaching several suppliers, you have received four suitable bids. These are complete packages. Costs include purchase and installation of "&amp;'(HIDE) Data Validation'!B7&amp;", Hot and Cold Storage, HVAC and Sinks."</f>
        <v>You will need equipment for your kitchens. After approaching several suppliers, you have received four suitable bids. These are complete packages. Costs include purchase and installation of Grills, Hot and Cold Storage, HVAC and Sinks.</v>
      </c>
      <c r="C30" s="340"/>
      <c r="D30" s="340"/>
      <c r="E30" s="340"/>
      <c r="F30" s="340"/>
      <c r="G30" s="340"/>
      <c r="H30" s="340"/>
      <c r="I30" s="340"/>
      <c r="J30" s="340"/>
      <c r="K30" s="340"/>
      <c r="L30" s="340"/>
      <c r="M30" s="340"/>
      <c r="N30" s="340"/>
      <c r="O30" s="340"/>
      <c r="P30" s="340"/>
      <c r="Q30" s="8"/>
      <c r="R30" s="8"/>
    </row>
    <row r="31" spans="1:18" x14ac:dyDescent="0.25">
      <c r="B31" s="341" t="s">
        <v>446</v>
      </c>
      <c r="C31" s="341"/>
      <c r="D31" s="341"/>
      <c r="E31" s="341"/>
      <c r="F31" s="341"/>
      <c r="G31" s="341"/>
      <c r="H31" s="341"/>
      <c r="I31" s="341"/>
      <c r="J31" s="341"/>
      <c r="K31" s="341"/>
      <c r="L31" s="341"/>
      <c r="M31" s="341"/>
      <c r="N31" s="341"/>
      <c r="O31" s="341"/>
      <c r="P31" s="341"/>
      <c r="Q31" s="341"/>
      <c r="R31" s="8"/>
    </row>
    <row r="32" spans="1:18" x14ac:dyDescent="0.25">
      <c r="B32" s="340" t="s">
        <v>743</v>
      </c>
      <c r="C32" s="340"/>
      <c r="D32" s="340"/>
      <c r="E32" s="340"/>
      <c r="F32" s="340"/>
      <c r="G32" s="340"/>
      <c r="H32" s="340"/>
      <c r="I32" s="340"/>
      <c r="J32" s="340"/>
      <c r="K32" s="340"/>
      <c r="L32" s="340"/>
      <c r="M32" s="340"/>
      <c r="N32" s="340"/>
      <c r="O32" s="340"/>
      <c r="P32" s="340"/>
      <c r="Q32" s="340"/>
      <c r="R32" s="8"/>
    </row>
    <row r="34" spans="2:16" ht="19.7" customHeight="1" x14ac:dyDescent="0.25">
      <c r="C34" s="11"/>
      <c r="F34" s="11"/>
      <c r="G34" s="10"/>
      <c r="I34" s="11"/>
      <c r="J34" s="10"/>
      <c r="L34" s="11"/>
    </row>
    <row r="35" spans="2:16" x14ac:dyDescent="0.25">
      <c r="C35" s="11"/>
      <c r="F35" s="11"/>
      <c r="G35" s="10"/>
      <c r="I35" s="11"/>
      <c r="J35" s="10"/>
      <c r="L35" s="11"/>
      <c r="M35" s="10"/>
    </row>
    <row r="36" spans="2:16" x14ac:dyDescent="0.25">
      <c r="B36" s="1" t="s">
        <v>101</v>
      </c>
      <c r="C36" s="11"/>
      <c r="D36" s="337">
        <f>'(HIDE) Data Validation'!G19</f>
        <v>21000</v>
      </c>
      <c r="E36" s="338"/>
      <c r="F36" s="339"/>
      <c r="G36" s="337">
        <f>'(HIDE) Data Validation'!H19</f>
        <v>17000</v>
      </c>
      <c r="H36" s="338"/>
      <c r="I36" s="339"/>
      <c r="J36" s="337">
        <f>'(HIDE) Data Validation'!I19</f>
        <v>32000</v>
      </c>
      <c r="K36" s="338"/>
      <c r="L36" s="339"/>
      <c r="M36" s="337">
        <f>'(HIDE) Data Validation'!J19</f>
        <v>13000</v>
      </c>
      <c r="N36" s="338"/>
      <c r="O36" s="338"/>
      <c r="P36" s="338"/>
    </row>
    <row r="37" spans="2:16" x14ac:dyDescent="0.25">
      <c r="C37" s="11"/>
      <c r="F37" s="11"/>
      <c r="G37" s="10"/>
      <c r="I37" s="11"/>
      <c r="J37" s="10"/>
      <c r="L37" s="11"/>
      <c r="M37" s="10"/>
    </row>
    <row r="38" spans="2:16" x14ac:dyDescent="0.25">
      <c r="B38" s="1" t="s">
        <v>68</v>
      </c>
      <c r="C38" s="11"/>
      <c r="D38" s="348" t="str">
        <f>'(HIDE) Data Validation'!G20&amp;" years"</f>
        <v>15 years</v>
      </c>
      <c r="E38" s="349"/>
      <c r="F38" s="350"/>
      <c r="G38" s="348" t="str">
        <f>'(HIDE) Data Validation'!H20&amp;" years"</f>
        <v>10 years</v>
      </c>
      <c r="H38" s="349"/>
      <c r="I38" s="350"/>
      <c r="J38" s="348" t="str">
        <f>'(HIDE) Data Validation'!I20&amp;" years"</f>
        <v>17 years</v>
      </c>
      <c r="K38" s="349"/>
      <c r="L38" s="350"/>
      <c r="M38" s="348" t="str">
        <f>'(HIDE) Data Validation'!J20&amp;" years"</f>
        <v>8 years</v>
      </c>
      <c r="N38" s="349"/>
      <c r="O38" s="349"/>
      <c r="P38" s="349"/>
    </row>
    <row r="39" spans="2:16" x14ac:dyDescent="0.25">
      <c r="C39" s="11"/>
      <c r="F39" s="11"/>
      <c r="G39" s="10"/>
      <c r="I39" s="11"/>
      <c r="J39" s="10"/>
      <c r="L39" s="11"/>
      <c r="M39" s="10"/>
    </row>
    <row r="40" spans="2:16" x14ac:dyDescent="0.25">
      <c r="B40" s="1" t="s">
        <v>523</v>
      </c>
      <c r="C40" s="11"/>
      <c r="D40" s="348" t="str">
        <f>'(HIDE) Data Validation'!G21&amp;" "&amp;'(HIDE) Data Validation'!A7</f>
        <v>6000 Burgers</v>
      </c>
      <c r="E40" s="349"/>
      <c r="F40" s="350"/>
      <c r="G40" s="348" t="str">
        <f>'(HIDE) Data Validation'!H21&amp;" "&amp;'(HIDE) Data Validation'!A7</f>
        <v>5500 Burgers</v>
      </c>
      <c r="H40" s="349"/>
      <c r="I40" s="350"/>
      <c r="J40" s="348" t="str">
        <f>'(HIDE) Data Validation'!I21&amp;" "&amp;'(HIDE) Data Validation'!A7</f>
        <v>7500 Burgers</v>
      </c>
      <c r="K40" s="349"/>
      <c r="L40" s="350"/>
      <c r="M40" s="348" t="str">
        <f>'(HIDE) Data Validation'!J21&amp;" "&amp;'(HIDE) Data Validation'!A7</f>
        <v>4000 Burgers</v>
      </c>
      <c r="N40" s="349"/>
      <c r="O40" s="349"/>
      <c r="P40" s="349"/>
    </row>
    <row r="41" spans="2:16" x14ac:dyDescent="0.25">
      <c r="C41" s="11"/>
      <c r="F41" s="11"/>
      <c r="G41" s="10"/>
      <c r="I41" s="11"/>
      <c r="J41" s="10"/>
      <c r="L41" s="11"/>
      <c r="M41" s="10"/>
    </row>
    <row r="42" spans="2:16" x14ac:dyDescent="0.25">
      <c r="B42" s="1" t="s">
        <v>100</v>
      </c>
      <c r="C42" s="11"/>
      <c r="D42" s="345" t="str">
        <f>"$"&amp;'(HIDE) Data Validation'!G22&amp;" per month"</f>
        <v>$1200 per month</v>
      </c>
      <c r="E42" s="346"/>
      <c r="F42" s="347"/>
      <c r="G42" s="345" t="str">
        <f>"$"&amp;'(HIDE) Data Validation'!H22&amp;" per month"</f>
        <v>$1000 per month</v>
      </c>
      <c r="H42" s="346"/>
      <c r="I42" s="347"/>
      <c r="J42" s="345" t="str">
        <f>"$"&amp;'(HIDE) Data Validation'!I22&amp;" per month"</f>
        <v>$1100 per month</v>
      </c>
      <c r="K42" s="346"/>
      <c r="L42" s="347"/>
      <c r="M42" s="345" t="str">
        <f>"$"&amp;'(HIDE) Data Validation'!J22&amp;" per month"</f>
        <v>$800 per month</v>
      </c>
      <c r="N42" s="346"/>
      <c r="O42" s="346"/>
      <c r="P42" s="346"/>
    </row>
    <row r="43" spans="2:16" x14ac:dyDescent="0.25">
      <c r="C43" s="11"/>
      <c r="F43" s="11"/>
      <c r="G43" s="10"/>
      <c r="I43" s="11"/>
      <c r="J43" s="10"/>
      <c r="K43" s="1" t="s">
        <v>450</v>
      </c>
      <c r="L43" s="11"/>
      <c r="M43" s="10"/>
    </row>
    <row r="44" spans="2:16" x14ac:dyDescent="0.25">
      <c r="C44" s="11"/>
      <c r="F44" s="11"/>
      <c r="G44" s="10"/>
      <c r="I44" s="11"/>
      <c r="J44" s="10"/>
      <c r="L44" s="11"/>
      <c r="M44" s="10"/>
    </row>
    <row r="45" spans="2:16" x14ac:dyDescent="0.25">
      <c r="C45" s="11"/>
      <c r="F45" s="11"/>
      <c r="I45" s="11"/>
      <c r="L45" s="11"/>
    </row>
  </sheetData>
  <sheetProtection algorithmName="SHA-512" hashValue="/wx7p3OsfrBKH3O4wVSz/uen0BqJQlBRjJhlixsTqCoyLr23RVeo1QQ9+W8h5aoxBUwbpnaPT2vB7RJBXbYoFA==" saltValue="jK9HYjieq5txxNWJcOcb7g==" spinCount="100000" sheet="1" objects="1" scenarios="1" formatColumns="0" formatRows="0" selectLockedCells="1"/>
  <mergeCells count="25">
    <mergeCell ref="D42:F42"/>
    <mergeCell ref="G42:I42"/>
    <mergeCell ref="J42:L42"/>
    <mergeCell ref="M42:P42"/>
    <mergeCell ref="G38:I38"/>
    <mergeCell ref="J38:L38"/>
    <mergeCell ref="M38:P38"/>
    <mergeCell ref="D40:F40"/>
    <mergeCell ref="D38:F38"/>
    <mergeCell ref="M40:P40"/>
    <mergeCell ref="G40:I40"/>
    <mergeCell ref="J40:L40"/>
    <mergeCell ref="D36:F36"/>
    <mergeCell ref="G36:I36"/>
    <mergeCell ref="J36:L36"/>
    <mergeCell ref="M36:P36"/>
    <mergeCell ref="B3:Q3"/>
    <mergeCell ref="B32:Q32"/>
    <mergeCell ref="B31:Q31"/>
    <mergeCell ref="B17:Q17"/>
    <mergeCell ref="B12:Q12"/>
    <mergeCell ref="B20:P22"/>
    <mergeCell ref="B30:P30"/>
    <mergeCell ref="B4:Q4"/>
    <mergeCell ref="B5:H5"/>
  </mergeCells>
  <dataValidations count="3">
    <dataValidation type="decimal" allowBlank="1" showErrorMessage="1" error="Only numbers between $5 and $20 allowed" prompt="Pick a value between $5.00 - $20.00" sqref="B8" xr:uid="{00000000-0002-0000-0300-000000000000}">
      <formula1>5</formula1>
      <formula2>20</formula2>
    </dataValidation>
    <dataValidation type="decimal" allowBlank="1" showErrorMessage="1" error="Only numbers between $2 and $8 allowed" prompt="Pick a value between $2.00 - $8.00" sqref="B16" xr:uid="{00000000-0002-0000-0300-000001000000}">
      <formula1>2</formula1>
      <formula2>8</formula2>
    </dataValidation>
    <dataValidation type="whole" allowBlank="1" showErrorMessage="1" error="Only whole numbers between $20 and $50 allowed" prompt="Pick a whole number between $20 - $50" sqref="B27" xr:uid="{00000000-0002-0000-0300-000002000000}">
      <formula1>20</formula1>
      <formula2>50</formula2>
    </dataValidation>
  </dataValidations>
  <pageMargins left="0.7" right="0.7" top="0.75" bottom="0.75" header="0.3" footer="0.3"/>
  <pageSetup paperSize="9" orientation="portrait" r:id="rId1"/>
  <cellWatches>
    <cellWatch r="A1"/>
  </cellWatche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Scroll Bar 1">
              <controlPr defaultSize="0" autoPict="0">
                <anchor moveWithCells="1">
                  <from>
                    <xdr:col>2</xdr:col>
                    <xdr:colOff>38100</xdr:colOff>
                    <xdr:row>6</xdr:row>
                    <xdr:rowOff>0</xdr:rowOff>
                  </from>
                  <to>
                    <xdr:col>4</xdr:col>
                    <xdr:colOff>561975</xdr:colOff>
                    <xdr:row>6</xdr:row>
                    <xdr:rowOff>180975</xdr:rowOff>
                  </to>
                </anchor>
              </controlPr>
            </control>
          </mc:Choice>
        </mc:AlternateContent>
        <mc:AlternateContent xmlns:mc="http://schemas.openxmlformats.org/markup-compatibility/2006">
          <mc:Choice Requires="x14">
            <control shapeId="11266" r:id="rId5" name="Scroll Bar 2">
              <controlPr defaultSize="0" autoPict="0">
                <anchor moveWithCells="1">
                  <from>
                    <xdr:col>2</xdr:col>
                    <xdr:colOff>28575</xdr:colOff>
                    <xdr:row>14</xdr:row>
                    <xdr:rowOff>38100</xdr:rowOff>
                  </from>
                  <to>
                    <xdr:col>4</xdr:col>
                    <xdr:colOff>561975</xdr:colOff>
                    <xdr:row>14</xdr:row>
                    <xdr:rowOff>219075</xdr:rowOff>
                  </to>
                </anchor>
              </controlPr>
            </control>
          </mc:Choice>
        </mc:AlternateContent>
        <mc:AlternateContent xmlns:mc="http://schemas.openxmlformats.org/markup-compatibility/2006">
          <mc:Choice Requires="x14">
            <control shapeId="11267" r:id="rId6" name="Scroll Bar 3">
              <controlPr defaultSize="0" autoPict="0">
                <anchor moveWithCells="1">
                  <from>
                    <xdr:col>2</xdr:col>
                    <xdr:colOff>38100</xdr:colOff>
                    <xdr:row>25</xdr:row>
                    <xdr:rowOff>19050</xdr:rowOff>
                  </from>
                  <to>
                    <xdr:col>4</xdr:col>
                    <xdr:colOff>561975</xdr:colOff>
                    <xdr:row>25</xdr:row>
                    <xdr:rowOff>190500</xdr:rowOff>
                  </to>
                </anchor>
              </controlPr>
            </control>
          </mc:Choice>
        </mc:AlternateContent>
        <mc:AlternateContent xmlns:mc="http://schemas.openxmlformats.org/markup-compatibility/2006">
          <mc:Choice Requires="x14">
            <control shapeId="11268" r:id="rId7" name="Group Box 4">
              <controlPr defaultSize="0" autoFill="0" autoPict="0">
                <anchor moveWithCells="1">
                  <from>
                    <xdr:col>0</xdr:col>
                    <xdr:colOff>409575</xdr:colOff>
                    <xdr:row>32</xdr:row>
                    <xdr:rowOff>133350</xdr:rowOff>
                  </from>
                  <to>
                    <xdr:col>16</xdr:col>
                    <xdr:colOff>9525</xdr:colOff>
                    <xdr:row>45</xdr:row>
                    <xdr:rowOff>95250</xdr:rowOff>
                  </to>
                </anchor>
              </controlPr>
            </control>
          </mc:Choice>
        </mc:AlternateContent>
        <mc:AlternateContent xmlns:mc="http://schemas.openxmlformats.org/markup-compatibility/2006">
          <mc:Choice Requires="x14">
            <control shapeId="11269" r:id="rId8" name="Option Button 5">
              <controlPr defaultSize="0" autoFill="0" autoLine="0" autoPict="0">
                <anchor moveWithCells="1">
                  <from>
                    <xdr:col>3</xdr:col>
                    <xdr:colOff>95250</xdr:colOff>
                    <xdr:row>32</xdr:row>
                    <xdr:rowOff>180975</xdr:rowOff>
                  </from>
                  <to>
                    <xdr:col>5</xdr:col>
                    <xdr:colOff>962025</xdr:colOff>
                    <xdr:row>34</xdr:row>
                    <xdr:rowOff>0</xdr:rowOff>
                  </to>
                </anchor>
              </controlPr>
            </control>
          </mc:Choice>
        </mc:AlternateContent>
        <mc:AlternateContent xmlns:mc="http://schemas.openxmlformats.org/markup-compatibility/2006">
          <mc:Choice Requires="x14">
            <control shapeId="11270" r:id="rId9" name="Option Button 6">
              <controlPr defaultSize="0" autoFill="0" autoLine="0" autoPict="0" altText="Aussie Cooktops &amp; Catering PLC">
                <anchor moveWithCells="1">
                  <from>
                    <xdr:col>6</xdr:col>
                    <xdr:colOff>76200</xdr:colOff>
                    <xdr:row>32</xdr:row>
                    <xdr:rowOff>180975</xdr:rowOff>
                  </from>
                  <to>
                    <xdr:col>8</xdr:col>
                    <xdr:colOff>1047750</xdr:colOff>
                    <xdr:row>34</xdr:row>
                    <xdr:rowOff>0</xdr:rowOff>
                  </to>
                </anchor>
              </controlPr>
            </control>
          </mc:Choice>
        </mc:AlternateContent>
        <mc:AlternateContent xmlns:mc="http://schemas.openxmlformats.org/markup-compatibility/2006">
          <mc:Choice Requires="x14">
            <control shapeId="11271" r:id="rId10" name="Option Button 7">
              <controlPr defaultSize="0" autoFill="0" autoLine="0" autoPict="0">
                <anchor moveWithCells="1">
                  <from>
                    <xdr:col>9</xdr:col>
                    <xdr:colOff>76200</xdr:colOff>
                    <xdr:row>32</xdr:row>
                    <xdr:rowOff>180975</xdr:rowOff>
                  </from>
                  <to>
                    <xdr:col>11</xdr:col>
                    <xdr:colOff>838200</xdr:colOff>
                    <xdr:row>34</xdr:row>
                    <xdr:rowOff>0</xdr:rowOff>
                  </to>
                </anchor>
              </controlPr>
            </control>
          </mc:Choice>
        </mc:AlternateContent>
        <mc:AlternateContent xmlns:mc="http://schemas.openxmlformats.org/markup-compatibility/2006">
          <mc:Choice Requires="x14">
            <control shapeId="11273" r:id="rId11" name="Option Button 9">
              <controlPr defaultSize="0" autoFill="0" autoLine="0" autoPict="0">
                <anchor moveWithCells="1">
                  <from>
                    <xdr:col>12</xdr:col>
                    <xdr:colOff>95250</xdr:colOff>
                    <xdr:row>32</xdr:row>
                    <xdr:rowOff>180975</xdr:rowOff>
                  </from>
                  <to>
                    <xdr:col>16</xdr:col>
                    <xdr:colOff>9525</xdr:colOff>
                    <xdr:row>34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dimension ref="B1:N62"/>
  <sheetViews>
    <sheetView zoomScaleNormal="100" workbookViewId="0">
      <selection activeCell="B26" sqref="B26"/>
    </sheetView>
  </sheetViews>
  <sheetFormatPr defaultColWidth="8.85546875" defaultRowHeight="15" x14ac:dyDescent="0.25"/>
  <cols>
    <col min="1" max="1" width="8.85546875" style="1"/>
    <col min="2" max="2" width="13.5703125" style="1" customWidth="1"/>
    <col min="3" max="3" width="8.85546875" style="1"/>
    <col min="4" max="4" width="5.85546875" style="1" customWidth="1"/>
    <col min="5" max="7" width="8.85546875" style="1"/>
    <col min="8" max="8" width="20.42578125" style="1" customWidth="1"/>
    <col min="9" max="10" width="8.85546875" style="1"/>
    <col min="11" max="11" width="40.7109375" style="1" customWidth="1"/>
    <col min="12" max="16384" width="8.85546875" style="1"/>
  </cols>
  <sheetData>
    <row r="1" spans="2:11" ht="72" customHeight="1" x14ac:dyDescent="0.25"/>
    <row r="4" spans="2:11" ht="15.75" x14ac:dyDescent="0.25">
      <c r="B4" s="29" t="s">
        <v>604</v>
      </c>
    </row>
    <row r="5" spans="2:11" x14ac:dyDescent="0.25">
      <c r="B5" s="340" t="s">
        <v>744</v>
      </c>
      <c r="C5" s="340"/>
      <c r="D5" s="340"/>
      <c r="E5" s="340"/>
      <c r="F5" s="340"/>
      <c r="G5" s="340"/>
      <c r="H5" s="340"/>
      <c r="I5" s="340"/>
      <c r="J5" s="340"/>
      <c r="K5" s="340"/>
    </row>
    <row r="6" spans="2:11" x14ac:dyDescent="0.25">
      <c r="B6" s="340"/>
      <c r="C6" s="340"/>
      <c r="D6" s="340"/>
      <c r="E6" s="340"/>
      <c r="F6" s="340"/>
      <c r="G6" s="340"/>
      <c r="H6" s="340"/>
      <c r="I6" s="340"/>
      <c r="J6" s="340"/>
      <c r="K6" s="340"/>
    </row>
    <row r="7" spans="2:11" ht="18.600000000000001" customHeight="1" x14ac:dyDescent="0.25">
      <c r="B7" s="340"/>
      <c r="C7" s="340"/>
      <c r="D7" s="340"/>
      <c r="E7" s="340"/>
      <c r="F7" s="340"/>
      <c r="G7" s="340"/>
      <c r="H7" s="340"/>
      <c r="I7" s="340"/>
      <c r="J7" s="340"/>
      <c r="K7" s="340"/>
    </row>
    <row r="8" spans="2:11" x14ac:dyDescent="0.25">
      <c r="E8" s="336" t="s">
        <v>606</v>
      </c>
      <c r="F8" s="336"/>
      <c r="G8" s="336"/>
      <c r="H8" s="336"/>
      <c r="I8" s="336"/>
      <c r="J8" s="336"/>
      <c r="K8" s="336"/>
    </row>
    <row r="9" spans="2:11" ht="14.85" customHeight="1" x14ac:dyDescent="0.25">
      <c r="E9" s="336"/>
      <c r="F9" s="336"/>
      <c r="G9" s="336"/>
      <c r="H9" s="336"/>
      <c r="I9" s="336"/>
      <c r="J9" s="336"/>
      <c r="K9" s="336"/>
    </row>
    <row r="10" spans="2:11" x14ac:dyDescent="0.25">
      <c r="E10" s="336" t="s">
        <v>607</v>
      </c>
      <c r="F10" s="336"/>
      <c r="G10" s="336"/>
      <c r="H10" s="336"/>
      <c r="I10" s="336"/>
      <c r="J10" s="336"/>
      <c r="K10" s="336"/>
    </row>
    <row r="11" spans="2:11" x14ac:dyDescent="0.25">
      <c r="E11" s="336"/>
      <c r="F11" s="336"/>
      <c r="G11" s="336"/>
      <c r="H11" s="336"/>
      <c r="I11" s="336"/>
      <c r="J11" s="336"/>
      <c r="K11" s="336"/>
    </row>
    <row r="12" spans="2:11" x14ac:dyDescent="0.25">
      <c r="E12" s="336" t="s">
        <v>745</v>
      </c>
      <c r="F12" s="336"/>
      <c r="G12" s="336"/>
      <c r="H12" s="336"/>
      <c r="I12" s="336"/>
      <c r="J12" s="336"/>
      <c r="K12" s="336"/>
    </row>
    <row r="13" spans="2:11" x14ac:dyDescent="0.25">
      <c r="E13" s="336"/>
      <c r="F13" s="336"/>
      <c r="G13" s="336"/>
      <c r="H13" s="336"/>
      <c r="I13" s="336"/>
      <c r="J13" s="336"/>
      <c r="K13" s="336"/>
    </row>
    <row r="14" spans="2:11" x14ac:dyDescent="0.25">
      <c r="E14" s="336" t="s">
        <v>605</v>
      </c>
      <c r="F14" s="336"/>
      <c r="G14" s="336"/>
      <c r="H14" s="336"/>
      <c r="I14" s="336"/>
      <c r="J14" s="336"/>
      <c r="K14" s="336"/>
    </row>
    <row r="15" spans="2:11" x14ac:dyDescent="0.25">
      <c r="E15" s="336"/>
      <c r="F15" s="336"/>
      <c r="G15" s="336"/>
      <c r="H15" s="336"/>
      <c r="I15" s="336"/>
      <c r="J15" s="336"/>
      <c r="K15" s="336"/>
    </row>
    <row r="19" spans="2:14" ht="15.75" x14ac:dyDescent="0.25">
      <c r="B19" s="29" t="s">
        <v>620</v>
      </c>
      <c r="N19" s="251" t="s">
        <v>661</v>
      </c>
    </row>
    <row r="20" spans="2:14" x14ac:dyDescent="0.25">
      <c r="B20" s="1" t="s">
        <v>615</v>
      </c>
    </row>
    <row r="21" spans="2:14" x14ac:dyDescent="0.25">
      <c r="B21" s="1" t="s">
        <v>617</v>
      </c>
    </row>
    <row r="22" spans="2:14" ht="24.4" customHeight="1" x14ac:dyDescent="0.25">
      <c r="B22" s="291" t="s">
        <v>705</v>
      </c>
    </row>
    <row r="23" spans="2:14" ht="15.75" x14ac:dyDescent="0.25">
      <c r="B23" s="29" t="s">
        <v>619</v>
      </c>
    </row>
    <row r="24" spans="2:14" ht="15.75" thickBot="1" x14ac:dyDescent="0.3">
      <c r="B24" s="352" t="s">
        <v>720</v>
      </c>
      <c r="C24" s="352"/>
      <c r="D24" s="352"/>
      <c r="E24" s="352"/>
      <c r="F24" s="352"/>
      <c r="I24" s="1" t="s">
        <v>624</v>
      </c>
    </row>
    <row r="25" spans="2:14" ht="15.75" thickBot="1" x14ac:dyDescent="0.3">
      <c r="B25" s="153">
        <f>IF('(HIDE) Data Validation'!$C$3=3,0,'(HIDE) Data Validation'!D110*5000)</f>
        <v>0</v>
      </c>
      <c r="I25" s="227" t="str">
        <f>IF('(HIDE) Data Validation'!$C$3&lt;&gt;3,"","As you are a franchise, production is done by the franchisor. You will not need to pay any fees")</f>
        <v/>
      </c>
    </row>
    <row r="26" spans="2:14" x14ac:dyDescent="0.25">
      <c r="B26" s="293"/>
      <c r="C26" s="296" t="s">
        <v>715</v>
      </c>
      <c r="I26" s="227"/>
    </row>
    <row r="27" spans="2:14" ht="15.75" thickBot="1" x14ac:dyDescent="0.3">
      <c r="B27" s="14" t="s">
        <v>721</v>
      </c>
      <c r="C27" s="14"/>
      <c r="D27" s="14"/>
      <c r="E27" s="14"/>
      <c r="F27" s="14"/>
      <c r="G27" s="14"/>
      <c r="H27" s="14"/>
      <c r="I27" s="1" t="s">
        <v>746</v>
      </c>
    </row>
    <row r="28" spans="2:14" ht="15.75" thickBot="1" x14ac:dyDescent="0.3">
      <c r="B28" s="153">
        <f>IF('(HIDE) Data Validation'!$C$3=3,'(HIDE) Data Validation'!G111,'(HIDE) Data Validation'!F111)</f>
        <v>0</v>
      </c>
      <c r="C28" s="242"/>
      <c r="D28" s="242"/>
      <c r="E28" s="242"/>
      <c r="F28" s="242"/>
      <c r="I28" s="1" t="s">
        <v>621</v>
      </c>
    </row>
    <row r="29" spans="2:14" x14ac:dyDescent="0.25">
      <c r="B29" s="293"/>
      <c r="C29" s="296" t="s">
        <v>729</v>
      </c>
      <c r="D29" s="242"/>
      <c r="E29" s="242"/>
      <c r="F29" s="242"/>
    </row>
    <row r="30" spans="2:14" x14ac:dyDescent="0.25">
      <c r="B30" s="123" t="str">
        <f>"Average cost of each showing = $"&amp;'(HIDE) Data Validation'!E111</f>
        <v>Average cost of each showing = $300</v>
      </c>
      <c r="I30" s="227" t="str">
        <f>IF('(HIDE) Data Validation'!$C$3&lt;&gt;3,"","As you are a franchise, you are obligated to pay $"&amp;'(HIDE) Data Validation'!G111&amp;" monthly for TV advertising")</f>
        <v/>
      </c>
    </row>
    <row r="31" spans="2:14" x14ac:dyDescent="0.25">
      <c r="B31" s="123" t="str">
        <f>"Advertisement will show "&amp;'(HIDE) Data Validation'!D111&amp;" times per day"</f>
        <v>Advertisement will show 0 times per day</v>
      </c>
      <c r="I31" s="7" t="s">
        <v>638</v>
      </c>
    </row>
    <row r="32" spans="2:14" x14ac:dyDescent="0.25">
      <c r="B32" s="244" t="s">
        <v>625</v>
      </c>
      <c r="C32" s="243">
        <f>'(HIDE) Data Validation'!I110</f>
        <v>0</v>
      </c>
      <c r="D32" s="1" t="s">
        <v>631</v>
      </c>
      <c r="I32" s="7" t="s">
        <v>747</v>
      </c>
    </row>
    <row r="33" spans="2:9" ht="25.5" customHeight="1" x14ac:dyDescent="0.25"/>
    <row r="34" spans="2:9" ht="15.75" x14ac:dyDescent="0.25">
      <c r="B34" s="29" t="s">
        <v>616</v>
      </c>
    </row>
    <row r="35" spans="2:9" ht="15.75" thickBot="1" x14ac:dyDescent="0.3">
      <c r="B35" s="352" t="s">
        <v>723</v>
      </c>
      <c r="C35" s="352"/>
      <c r="D35" s="352"/>
      <c r="E35" s="352"/>
      <c r="F35" s="352"/>
      <c r="I35" s="1" t="s">
        <v>636</v>
      </c>
    </row>
    <row r="36" spans="2:9" ht="15.75" thickBot="1" x14ac:dyDescent="0.3">
      <c r="B36" s="153">
        <f>IF('(HIDE) Data Validation'!$C$3=3,0,'(HIDE) Data Validation'!D112*300)</f>
        <v>0</v>
      </c>
      <c r="I36" s="227" t="str">
        <f>IF('(HIDE) Data Validation'!$C$3&lt;&gt;3,"","As you are a franchise, production is done by the franchisor. You will not need to pay any fees")</f>
        <v/>
      </c>
    </row>
    <row r="37" spans="2:9" x14ac:dyDescent="0.25">
      <c r="B37" s="293"/>
      <c r="C37" s="296" t="s">
        <v>715</v>
      </c>
      <c r="I37" s="227"/>
    </row>
    <row r="38" spans="2:9" ht="15.75" thickBot="1" x14ac:dyDescent="0.3">
      <c r="B38" s="351" t="s">
        <v>722</v>
      </c>
      <c r="C38" s="351"/>
      <c r="D38" s="351"/>
      <c r="E38" s="351"/>
      <c r="F38" s="351"/>
      <c r="G38" s="351"/>
      <c r="H38" s="351"/>
      <c r="I38" s="1" t="s">
        <v>748</v>
      </c>
    </row>
    <row r="39" spans="2:9" ht="15.75" thickBot="1" x14ac:dyDescent="0.3">
      <c r="B39" s="153">
        <f>IF('(HIDE) Data Validation'!$C$3=3,'(HIDE) Data Validation'!G113,'(HIDE) Data Validation'!F113)</f>
        <v>0</v>
      </c>
      <c r="C39" s="242"/>
      <c r="D39" s="242"/>
      <c r="E39" s="242"/>
      <c r="F39" s="242"/>
      <c r="I39" s="1" t="s">
        <v>749</v>
      </c>
    </row>
    <row r="40" spans="2:9" x14ac:dyDescent="0.25">
      <c r="B40" s="293"/>
      <c r="C40" s="296" t="s">
        <v>728</v>
      </c>
      <c r="D40" s="242"/>
      <c r="E40" s="242"/>
      <c r="F40" s="242"/>
    </row>
    <row r="41" spans="2:9" x14ac:dyDescent="0.25">
      <c r="B41" s="123" t="str">
        <f>"Average cost of each broadcast = $"&amp;'(HIDE) Data Validation'!E113</f>
        <v>Average cost of each broadcast = $20</v>
      </c>
      <c r="I41" s="227" t="str">
        <f>IF('(HIDE) Data Validation'!$C$3&lt;&gt;3,"","As you are a franchise, you are obligated to pay $"&amp;'(HIDE) Data Validation'!G113&amp;" monthly for Radio advertising")</f>
        <v/>
      </c>
    </row>
    <row r="42" spans="2:9" x14ac:dyDescent="0.25">
      <c r="B42" s="123" t="str">
        <f>"Advertisement will broadcast "&amp;'(HIDE) Data Validation'!D113&amp;" times per day"</f>
        <v>Advertisement will broadcast 0 times per day</v>
      </c>
      <c r="I42" s="7" t="s">
        <v>639</v>
      </c>
    </row>
    <row r="43" spans="2:9" x14ac:dyDescent="0.25">
      <c r="B43" s="244" t="s">
        <v>625</v>
      </c>
      <c r="C43" s="243">
        <f>'(HIDE) Data Validation'!I112</f>
        <v>0</v>
      </c>
      <c r="D43" s="1" t="s">
        <v>631</v>
      </c>
      <c r="I43" s="7" t="s">
        <v>640</v>
      </c>
    </row>
    <row r="44" spans="2:9" ht="31.9" customHeight="1" x14ac:dyDescent="0.25"/>
    <row r="45" spans="2:9" ht="15.75" x14ac:dyDescent="0.25">
      <c r="B45" s="29" t="s">
        <v>646</v>
      </c>
    </row>
    <row r="46" spans="2:9" ht="15.75" thickBot="1" x14ac:dyDescent="0.3">
      <c r="B46" s="14" t="s">
        <v>724</v>
      </c>
      <c r="I46" s="1" t="s">
        <v>644</v>
      </c>
    </row>
    <row r="47" spans="2:9" ht="15.75" thickBot="1" x14ac:dyDescent="0.3">
      <c r="B47" s="153">
        <f>IF('(HIDE) Data Validation'!$C$3=3,'(HIDE) Data Validation'!H114,'(HIDE) Data Validation'!D114*'(HIDE) Data Validation'!F114)</f>
        <v>0</v>
      </c>
      <c r="C47" s="242"/>
      <c r="D47" s="242"/>
      <c r="E47" s="242"/>
      <c r="F47" s="242"/>
      <c r="I47" s="1" t="s">
        <v>645</v>
      </c>
    </row>
    <row r="48" spans="2:9" x14ac:dyDescent="0.25">
      <c r="B48" s="293"/>
      <c r="C48" s="296" t="s">
        <v>730</v>
      </c>
      <c r="D48" s="242"/>
      <c r="E48" s="242"/>
      <c r="F48" s="242"/>
    </row>
    <row r="49" spans="2:9" x14ac:dyDescent="0.25">
      <c r="B49" s="244" t="s">
        <v>625</v>
      </c>
      <c r="C49" s="243">
        <f>'(HIDE) Data Validation'!I114</f>
        <v>0</v>
      </c>
      <c r="D49" s="1" t="s">
        <v>631</v>
      </c>
      <c r="I49" s="7" t="s">
        <v>652</v>
      </c>
    </row>
    <row r="50" spans="2:9" ht="31.9" customHeight="1" x14ac:dyDescent="0.25">
      <c r="I50" s="246" t="str">
        <f>IF('(HIDE) Data Validation'!$C$3&lt;&gt;3,"","As you are a franchise, you are obligated to pay $"&amp;'(HIDE) Data Validation'!H114&amp;" monthly for Print advertising")</f>
        <v/>
      </c>
    </row>
    <row r="51" spans="2:9" ht="15.75" x14ac:dyDescent="0.25">
      <c r="B51" s="29" t="s">
        <v>665</v>
      </c>
    </row>
    <row r="52" spans="2:9" ht="15.75" thickBot="1" x14ac:dyDescent="0.3">
      <c r="B52" s="14" t="s">
        <v>725</v>
      </c>
      <c r="I52" s="1" t="s">
        <v>650</v>
      </c>
    </row>
    <row r="53" spans="2:9" ht="15.75" thickBot="1" x14ac:dyDescent="0.3">
      <c r="B53" s="153">
        <f>IF('(HIDE) Data Validation'!$C$3=3,'(HIDE) Data Validation'!H115,'(HIDE) Data Validation'!D115*'(HIDE) Data Validation'!F115)</f>
        <v>5000</v>
      </c>
      <c r="C53" s="242"/>
      <c r="D53" s="242"/>
      <c r="E53" s="242"/>
      <c r="F53" s="242"/>
      <c r="I53" s="1" t="s">
        <v>651</v>
      </c>
    </row>
    <row r="54" spans="2:9" x14ac:dyDescent="0.25">
      <c r="B54" s="293"/>
      <c r="C54" s="296" t="s">
        <v>734</v>
      </c>
      <c r="D54" s="242"/>
      <c r="E54" s="242"/>
      <c r="F54" s="242"/>
    </row>
    <row r="55" spans="2:9" x14ac:dyDescent="0.25">
      <c r="B55" s="244" t="s">
        <v>625</v>
      </c>
      <c r="C55" s="243">
        <f>'(HIDE) Data Validation'!I115</f>
        <v>0.30000000000000004</v>
      </c>
      <c r="D55" s="1" t="s">
        <v>631</v>
      </c>
      <c r="I55" s="246" t="str">
        <f>IF('(HIDE) Data Validation'!$C$3&lt;&gt;3,"","As you are a franchise, you are obligated to pay $"&amp;'(HIDE) Data Validation'!H115&amp;" monthly for Online Presence")</f>
        <v/>
      </c>
    </row>
    <row r="56" spans="2:9" ht="31.9" customHeight="1" x14ac:dyDescent="0.25"/>
    <row r="57" spans="2:9" ht="15.75" x14ac:dyDescent="0.25">
      <c r="B57" s="29" t="s">
        <v>618</v>
      </c>
    </row>
    <row r="58" spans="2:9" ht="15.75" thickBot="1" x14ac:dyDescent="0.3">
      <c r="B58" s="14" t="s">
        <v>724</v>
      </c>
      <c r="I58" s="1" t="s">
        <v>750</v>
      </c>
    </row>
    <row r="59" spans="2:9" ht="15.75" thickBot="1" x14ac:dyDescent="0.3">
      <c r="B59" s="153">
        <f>IF('(HIDE) Data Validation'!$C$3=3,'(HIDE) Data Validation'!H116,'(HIDE) Data Validation'!D116*'(HIDE) Data Validation'!F116)</f>
        <v>0</v>
      </c>
      <c r="C59" s="242"/>
      <c r="D59" s="242"/>
      <c r="E59" s="242"/>
      <c r="F59" s="242"/>
      <c r="I59" s="246" t="str">
        <f>IF('(HIDE) Data Validation'!$C$3&lt;&gt;3,"","As you are a franchise, you are obligated to pay $"&amp;'(HIDE) Data Validation'!H116&amp;" monthly for Print advertising")</f>
        <v/>
      </c>
    </row>
    <row r="60" spans="2:9" x14ac:dyDescent="0.25">
      <c r="B60" s="293"/>
      <c r="C60" s="296" t="s">
        <v>733</v>
      </c>
      <c r="D60" s="242"/>
      <c r="E60" s="242"/>
      <c r="F60" s="242"/>
      <c r="I60" s="246"/>
    </row>
    <row r="61" spans="2:9" x14ac:dyDescent="0.25">
      <c r="B61" s="244" t="s">
        <v>625</v>
      </c>
      <c r="C61" s="243">
        <f>'(HIDE) Data Validation'!I116</f>
        <v>0</v>
      </c>
      <c r="D61" s="1" t="s">
        <v>631</v>
      </c>
      <c r="I61" s="7" t="s">
        <v>731</v>
      </c>
    </row>
    <row r="62" spans="2:9" x14ac:dyDescent="0.25">
      <c r="I62" s="7" t="s">
        <v>732</v>
      </c>
    </row>
  </sheetData>
  <sheetProtection algorithmName="SHA-512" hashValue="7j7bEKwjh+VXdZ9CIrjE9AmXQFKRyzO+jwv8yYHQ3d4mEYu74Z5Az1j+fLVPCB/uPM1qGkbE6G+38Cg4T5NWyw==" saltValue="FlL+geXG7Oj/0b8MkJonRQ==" spinCount="100000" sheet="1" objects="1" scenarios="1" formatColumns="0" formatRows="0" selectLockedCells="1"/>
  <mergeCells count="8">
    <mergeCell ref="B38:H38"/>
    <mergeCell ref="B24:F24"/>
    <mergeCell ref="B35:F35"/>
    <mergeCell ref="B5:K7"/>
    <mergeCell ref="E8:K9"/>
    <mergeCell ref="E10:K11"/>
    <mergeCell ref="E12:K13"/>
    <mergeCell ref="E14:K15"/>
  </mergeCells>
  <dataValidations count="6">
    <dataValidation type="whole" allowBlank="1" showErrorMessage="1" error="Only numbers between $0 and $200,000 allowed" prompt="Pick a value between $0 - $200,000" sqref="B60 B48" xr:uid="{00000000-0002-0000-0400-000000000000}">
      <formula1>0</formula1>
      <formula2>200000</formula2>
    </dataValidation>
    <dataValidation type="whole" allowBlank="1" showErrorMessage="1" error="Only numbers between $0 and $100,000 allowed" prompt="Pick a value between $0 - $100,000" sqref="B26" xr:uid="{00000000-0002-0000-0400-000001000000}">
      <formula1>0</formula1>
      <formula2>100000</formula2>
    </dataValidation>
    <dataValidation type="whole" allowBlank="1" showErrorMessage="1" error="Only numbers between $0 and $900,000 allowed" prompt="Pick a value between $0 - $900,000" sqref="B29" xr:uid="{00000000-0002-0000-0400-000002000000}">
      <formula1>0</formula1>
      <formula2>900000</formula2>
    </dataValidation>
    <dataValidation type="whole" allowBlank="1" showErrorMessage="1" error="Only numbers between $0 and $6,000 allowed" prompt="Pick a value between $0 - $6,000" sqref="B37" xr:uid="{00000000-0002-0000-0400-000003000000}">
      <formula1>0</formula1>
      <formula2>6000</formula2>
    </dataValidation>
    <dataValidation type="whole" allowBlank="1" showErrorMessage="1" error="Only numbers between $0 and $60,000 allowed" prompt="Pick a value between $0 - $60,000" sqref="B40" xr:uid="{00000000-0002-0000-0400-000004000000}">
      <formula1>0</formula1>
      <formula2>60000</formula2>
    </dataValidation>
    <dataValidation type="whole" allowBlank="1" showErrorMessage="1" error="Only numbers between $0 and $5,000 allowed" prompt="Pick a value between $0 - $5,000" sqref="B54" xr:uid="{00000000-0002-0000-0400-000005000000}">
      <formula1>0</formula1>
      <formula2>5000</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4" r:id="rId4" name="Option Button 2">
              <controlPr defaultSize="0" autoFill="0" autoLine="0" autoPict="0" altText="">
                <anchor moveWithCells="1">
                  <from>
                    <xdr:col>1</xdr:col>
                    <xdr:colOff>0</xdr:colOff>
                    <xdr:row>7</xdr:row>
                    <xdr:rowOff>0</xdr:rowOff>
                  </from>
                  <to>
                    <xdr:col>2</xdr:col>
                    <xdr:colOff>590550</xdr:colOff>
                    <xdr:row>8</xdr:row>
                    <xdr:rowOff>28575</xdr:rowOff>
                  </to>
                </anchor>
              </controlPr>
            </control>
          </mc:Choice>
        </mc:AlternateContent>
        <mc:AlternateContent xmlns:mc="http://schemas.openxmlformats.org/markup-compatibility/2006">
          <mc:Choice Requires="x14">
            <control shapeId="79875" r:id="rId5" name="Option Button 3">
              <controlPr defaultSize="0" autoFill="0" autoLine="0" autoPict="0">
                <anchor moveWithCells="1">
                  <from>
                    <xdr:col>1</xdr:col>
                    <xdr:colOff>0</xdr:colOff>
                    <xdr:row>8</xdr:row>
                    <xdr:rowOff>171450</xdr:rowOff>
                  </from>
                  <to>
                    <xdr:col>2</xdr:col>
                    <xdr:colOff>619125</xdr:colOff>
                    <xdr:row>10</xdr:row>
                    <xdr:rowOff>19050</xdr:rowOff>
                  </to>
                </anchor>
              </controlPr>
            </control>
          </mc:Choice>
        </mc:AlternateContent>
        <mc:AlternateContent xmlns:mc="http://schemas.openxmlformats.org/markup-compatibility/2006">
          <mc:Choice Requires="x14">
            <control shapeId="79876" r:id="rId6" name="Option Button 4">
              <controlPr defaultSize="0" autoFill="0" autoLine="0" autoPict="0">
                <anchor moveWithCells="1">
                  <from>
                    <xdr:col>1</xdr:col>
                    <xdr:colOff>0</xdr:colOff>
                    <xdr:row>10</xdr:row>
                    <xdr:rowOff>171450</xdr:rowOff>
                  </from>
                  <to>
                    <xdr:col>2</xdr:col>
                    <xdr:colOff>609600</xdr:colOff>
                    <xdr:row>12</xdr:row>
                    <xdr:rowOff>19050</xdr:rowOff>
                  </to>
                </anchor>
              </controlPr>
            </control>
          </mc:Choice>
        </mc:AlternateContent>
        <mc:AlternateContent xmlns:mc="http://schemas.openxmlformats.org/markup-compatibility/2006">
          <mc:Choice Requires="x14">
            <control shapeId="79877" r:id="rId7" name="Option Button 5">
              <controlPr defaultSize="0" autoFill="0" autoLine="0" autoPict="0">
                <anchor moveWithCells="1">
                  <from>
                    <xdr:col>1</xdr:col>
                    <xdr:colOff>0</xdr:colOff>
                    <xdr:row>12</xdr:row>
                    <xdr:rowOff>171450</xdr:rowOff>
                  </from>
                  <to>
                    <xdr:col>2</xdr:col>
                    <xdr:colOff>552450</xdr:colOff>
                    <xdr:row>14</xdr:row>
                    <xdr:rowOff>19050</xdr:rowOff>
                  </to>
                </anchor>
              </controlPr>
            </control>
          </mc:Choice>
        </mc:AlternateContent>
        <mc:AlternateContent xmlns:mc="http://schemas.openxmlformats.org/markup-compatibility/2006">
          <mc:Choice Requires="x14">
            <control shapeId="79873" r:id="rId8" name="Group Box 1">
              <controlPr defaultSize="0" autoFill="0" autoPict="0">
                <anchor moveWithCells="1">
                  <from>
                    <xdr:col>0</xdr:col>
                    <xdr:colOff>533400</xdr:colOff>
                    <xdr:row>2</xdr:row>
                    <xdr:rowOff>85725</xdr:rowOff>
                  </from>
                  <to>
                    <xdr:col>11</xdr:col>
                    <xdr:colOff>200025</xdr:colOff>
                    <xdr:row>15</xdr:row>
                    <xdr:rowOff>123825</xdr:rowOff>
                  </to>
                </anchor>
              </controlPr>
            </control>
          </mc:Choice>
        </mc:AlternateContent>
        <mc:AlternateContent xmlns:mc="http://schemas.openxmlformats.org/markup-compatibility/2006">
          <mc:Choice Requires="x14">
            <control shapeId="79878" r:id="rId9" name="Scroll Bar 6">
              <controlPr defaultSize="0" autoPict="0">
                <anchor moveWithCells="1">
                  <from>
                    <xdr:col>2</xdr:col>
                    <xdr:colOff>66675</xdr:colOff>
                    <xdr:row>24</xdr:row>
                    <xdr:rowOff>19050</xdr:rowOff>
                  </from>
                  <to>
                    <xdr:col>5</xdr:col>
                    <xdr:colOff>561975</xdr:colOff>
                    <xdr:row>24</xdr:row>
                    <xdr:rowOff>180975</xdr:rowOff>
                  </to>
                </anchor>
              </controlPr>
            </control>
          </mc:Choice>
        </mc:AlternateContent>
        <mc:AlternateContent xmlns:mc="http://schemas.openxmlformats.org/markup-compatibility/2006">
          <mc:Choice Requires="x14">
            <control shapeId="79879" r:id="rId10" name="Scroll Bar 7">
              <controlPr defaultSize="0" autoPict="0">
                <anchor moveWithCells="1">
                  <from>
                    <xdr:col>2</xdr:col>
                    <xdr:colOff>76200</xdr:colOff>
                    <xdr:row>27</xdr:row>
                    <xdr:rowOff>19050</xdr:rowOff>
                  </from>
                  <to>
                    <xdr:col>5</xdr:col>
                    <xdr:colOff>552450</xdr:colOff>
                    <xdr:row>28</xdr:row>
                    <xdr:rowOff>0</xdr:rowOff>
                  </to>
                </anchor>
              </controlPr>
            </control>
          </mc:Choice>
        </mc:AlternateContent>
        <mc:AlternateContent xmlns:mc="http://schemas.openxmlformats.org/markup-compatibility/2006">
          <mc:Choice Requires="x14">
            <control shapeId="79880" r:id="rId11" name="Scroll Bar 8">
              <controlPr defaultSize="0" autoPict="0">
                <anchor moveWithCells="1">
                  <from>
                    <xdr:col>2</xdr:col>
                    <xdr:colOff>66675</xdr:colOff>
                    <xdr:row>35</xdr:row>
                    <xdr:rowOff>19050</xdr:rowOff>
                  </from>
                  <to>
                    <xdr:col>5</xdr:col>
                    <xdr:colOff>561975</xdr:colOff>
                    <xdr:row>35</xdr:row>
                    <xdr:rowOff>180975</xdr:rowOff>
                  </to>
                </anchor>
              </controlPr>
            </control>
          </mc:Choice>
        </mc:AlternateContent>
        <mc:AlternateContent xmlns:mc="http://schemas.openxmlformats.org/markup-compatibility/2006">
          <mc:Choice Requires="x14">
            <control shapeId="79881" r:id="rId12" name="Scroll Bar 9">
              <controlPr defaultSize="0" autoPict="0">
                <anchor moveWithCells="1">
                  <from>
                    <xdr:col>2</xdr:col>
                    <xdr:colOff>76200</xdr:colOff>
                    <xdr:row>38</xdr:row>
                    <xdr:rowOff>19050</xdr:rowOff>
                  </from>
                  <to>
                    <xdr:col>5</xdr:col>
                    <xdr:colOff>552450</xdr:colOff>
                    <xdr:row>39</xdr:row>
                    <xdr:rowOff>0</xdr:rowOff>
                  </to>
                </anchor>
              </controlPr>
            </control>
          </mc:Choice>
        </mc:AlternateContent>
        <mc:AlternateContent xmlns:mc="http://schemas.openxmlformats.org/markup-compatibility/2006">
          <mc:Choice Requires="x14">
            <control shapeId="79882" r:id="rId13" name="Scroll Bar 10">
              <controlPr defaultSize="0" autoPict="0">
                <anchor moveWithCells="1">
                  <from>
                    <xdr:col>2</xdr:col>
                    <xdr:colOff>76200</xdr:colOff>
                    <xdr:row>46</xdr:row>
                    <xdr:rowOff>19050</xdr:rowOff>
                  </from>
                  <to>
                    <xdr:col>5</xdr:col>
                    <xdr:colOff>552450</xdr:colOff>
                    <xdr:row>47</xdr:row>
                    <xdr:rowOff>0</xdr:rowOff>
                  </to>
                </anchor>
              </controlPr>
            </control>
          </mc:Choice>
        </mc:AlternateContent>
        <mc:AlternateContent xmlns:mc="http://schemas.openxmlformats.org/markup-compatibility/2006">
          <mc:Choice Requires="x14">
            <control shapeId="79883" r:id="rId14" name="Scroll Bar 11">
              <controlPr defaultSize="0" autoPict="0">
                <anchor moveWithCells="1">
                  <from>
                    <xdr:col>2</xdr:col>
                    <xdr:colOff>76200</xdr:colOff>
                    <xdr:row>52</xdr:row>
                    <xdr:rowOff>19050</xdr:rowOff>
                  </from>
                  <to>
                    <xdr:col>5</xdr:col>
                    <xdr:colOff>552450</xdr:colOff>
                    <xdr:row>53</xdr:row>
                    <xdr:rowOff>0</xdr:rowOff>
                  </to>
                </anchor>
              </controlPr>
            </control>
          </mc:Choice>
        </mc:AlternateContent>
        <mc:AlternateContent xmlns:mc="http://schemas.openxmlformats.org/markup-compatibility/2006">
          <mc:Choice Requires="x14">
            <control shapeId="79885" r:id="rId15" name="Scroll Bar 13">
              <controlPr defaultSize="0" autoPict="0">
                <anchor moveWithCells="1">
                  <from>
                    <xdr:col>2</xdr:col>
                    <xdr:colOff>76200</xdr:colOff>
                    <xdr:row>58</xdr:row>
                    <xdr:rowOff>19050</xdr:rowOff>
                  </from>
                  <to>
                    <xdr:col>5</xdr:col>
                    <xdr:colOff>552450</xdr:colOff>
                    <xdr:row>59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B1:N38"/>
  <sheetViews>
    <sheetView zoomScaleNormal="100" workbookViewId="0">
      <selection activeCell="N29" sqref="N29"/>
    </sheetView>
  </sheetViews>
  <sheetFormatPr defaultColWidth="8.85546875" defaultRowHeight="15" x14ac:dyDescent="0.25"/>
  <cols>
    <col min="1" max="2" width="8.85546875" style="1"/>
    <col min="3" max="3" width="16.5703125" style="1" customWidth="1"/>
    <col min="4" max="4" width="12.28515625" style="1" customWidth="1"/>
    <col min="5" max="10" width="8.85546875" style="1"/>
    <col min="11" max="11" width="31.85546875" style="1" customWidth="1"/>
    <col min="12" max="18" width="8.85546875" style="1"/>
    <col min="19" max="19" width="9.42578125" style="1" customWidth="1"/>
    <col min="20" max="16384" width="8.85546875" style="1"/>
  </cols>
  <sheetData>
    <row r="1" spans="2:13" ht="72" customHeight="1" x14ac:dyDescent="0.25"/>
    <row r="2" spans="2:13" x14ac:dyDescent="0.25">
      <c r="B2" s="1" t="s">
        <v>259</v>
      </c>
      <c r="M2" s="63" t="s">
        <v>309</v>
      </c>
    </row>
    <row r="4" spans="2:13" ht="15.75" x14ac:dyDescent="0.25">
      <c r="B4" s="29" t="s">
        <v>312</v>
      </c>
    </row>
    <row r="5" spans="2:13" x14ac:dyDescent="0.25">
      <c r="B5" s="340" t="s">
        <v>535</v>
      </c>
      <c r="C5" s="340"/>
      <c r="D5" s="340"/>
      <c r="E5" s="340"/>
      <c r="F5" s="340"/>
      <c r="G5" s="340"/>
      <c r="H5" s="340"/>
      <c r="I5" s="340"/>
      <c r="J5" s="340"/>
      <c r="K5" s="340"/>
    </row>
    <row r="6" spans="2:13" ht="14.85" customHeight="1" x14ac:dyDescent="0.25">
      <c r="B6" s="340"/>
      <c r="C6" s="340"/>
      <c r="D6" s="340"/>
      <c r="E6" s="340"/>
      <c r="F6" s="340"/>
      <c r="G6" s="340"/>
      <c r="H6" s="340"/>
      <c r="I6" s="340"/>
      <c r="J6" s="340"/>
      <c r="K6" s="340"/>
    </row>
    <row r="7" spans="2:13" x14ac:dyDescent="0.25">
      <c r="B7" s="340"/>
      <c r="C7" s="340"/>
      <c r="D7" s="340"/>
      <c r="E7" s="340"/>
      <c r="F7" s="340"/>
      <c r="G7" s="340"/>
      <c r="H7" s="340"/>
      <c r="I7" s="340"/>
      <c r="J7" s="340"/>
      <c r="K7" s="340"/>
    </row>
    <row r="8" spans="2:13" x14ac:dyDescent="0.25">
      <c r="D8" s="354" t="str">
        <f>"Initial Cost = $"&amp;TEXT('(HIDE) Data Validation'!G34,"#,##0;;@")&amp;". Running Cost = $"&amp;TEXT('(HIDE) Data Validation'!G35,"#,##0;;@")&amp;" per month. -"&amp;'(HIDE) Data Validation'!G37&amp;"% reduction in food purchase cost. Depreciation = $"&amp;TEXT('(HIDE) Data Validation'!G38,"#,##0;;@")&amp;"/yr"</f>
        <v>Initial Cost = $100,000. Running Cost = $1,000 per month. -3% reduction in food purchase cost. Depreciation = $5,000/yr</v>
      </c>
      <c r="E8" s="354"/>
      <c r="F8" s="354"/>
      <c r="G8" s="354"/>
      <c r="H8" s="354"/>
      <c r="I8" s="354"/>
      <c r="J8" s="354"/>
      <c r="K8" s="354"/>
    </row>
    <row r="9" spans="2:13" ht="7.7" customHeight="1" x14ac:dyDescent="0.25">
      <c r="D9" s="3"/>
      <c r="E9" s="3"/>
      <c r="F9" s="3"/>
      <c r="G9" s="3"/>
      <c r="H9" s="3"/>
      <c r="I9" s="3"/>
      <c r="J9" s="3"/>
      <c r="K9" s="3"/>
    </row>
    <row r="10" spans="2:13" x14ac:dyDescent="0.25">
      <c r="D10" s="3" t="s">
        <v>268</v>
      </c>
      <c r="E10" s="3"/>
      <c r="F10" s="3"/>
      <c r="G10" s="3"/>
      <c r="H10" s="3"/>
      <c r="I10" s="3"/>
      <c r="J10" s="3"/>
      <c r="K10" s="3"/>
    </row>
    <row r="13" spans="2:13" ht="15.75" x14ac:dyDescent="0.25">
      <c r="B13" s="29" t="s">
        <v>260</v>
      </c>
    </row>
    <row r="14" spans="2:13" x14ac:dyDescent="0.25">
      <c r="B14" s="340" t="s">
        <v>534</v>
      </c>
      <c r="C14" s="340"/>
      <c r="D14" s="340"/>
      <c r="E14" s="340"/>
      <c r="F14" s="340"/>
      <c r="G14" s="340"/>
      <c r="H14" s="340"/>
      <c r="I14" s="340"/>
      <c r="J14" s="340"/>
      <c r="K14" s="340"/>
    </row>
    <row r="15" spans="2:13" x14ac:dyDescent="0.25">
      <c r="B15" s="340"/>
      <c r="C15" s="340"/>
      <c r="D15" s="340"/>
      <c r="E15" s="340"/>
      <c r="F15" s="340"/>
      <c r="G15" s="340"/>
      <c r="H15" s="340"/>
      <c r="I15" s="340"/>
      <c r="J15" s="340"/>
      <c r="K15" s="340"/>
    </row>
    <row r="16" spans="2:13" x14ac:dyDescent="0.25">
      <c r="B16" s="340"/>
      <c r="C16" s="340"/>
      <c r="D16" s="340"/>
      <c r="E16" s="340"/>
      <c r="F16" s="340"/>
      <c r="G16" s="340"/>
      <c r="H16" s="340"/>
      <c r="I16" s="340"/>
      <c r="J16" s="340"/>
      <c r="K16" s="340"/>
    </row>
    <row r="17" spans="2:14" x14ac:dyDescent="0.25">
      <c r="D17" s="3" t="str">
        <f>"$"&amp;TEXT('(HIDE) Data Validation'!G42,"#,##0;;@")&amp;" per "&amp;'(HIDE) Data Validation'!H40&amp;" "&amp;'(HIDE) Data Validation'!A7&amp;" sales. No other effects. Depreciation = $"&amp;TEXT('(HIDE) Data Validation'!G46,"#,##0;;@")&amp;"/yr each"</f>
        <v>$2,500 per 5000 Burgers sales. No other effects. Depreciation = $250/yr each</v>
      </c>
    </row>
    <row r="18" spans="2:14" ht="6.4" customHeight="1" x14ac:dyDescent="0.25">
      <c r="D18" s="3"/>
    </row>
    <row r="19" spans="2:14" x14ac:dyDescent="0.25">
      <c r="D19" s="3" t="str">
        <f>"$"&amp;TEXT('(HIDE) Data Validation'!H42,"#,##0;;@")&amp;" per "&amp;'(HIDE) Data Validation'!H40&amp;" "&amp;'(HIDE) Data Validation'!A7&amp;" sales. +"&amp;'(HIDE) Data Validation'!H43&amp;" Initial Sales. +"&amp;'(HIDE) Data Validation'!H45&amp;"% increase to sales growth. Depreciation = $"&amp;TEXT('(HIDE) Data Validation'!H46,"#,##0;;@")&amp;"/yr each"</f>
        <v>$8,500 per 5000 Burgers sales. +500 Initial Sales. +3% increase to sales growth. Depreciation = $850/yr each</v>
      </c>
    </row>
    <row r="20" spans="2:14" ht="6.6" customHeight="1" x14ac:dyDescent="0.25">
      <c r="D20" s="3"/>
    </row>
    <row r="21" spans="2:14" x14ac:dyDescent="0.25">
      <c r="D21" s="3" t="str">
        <f>"$"&amp;TEXT('(HIDE) Data Validation'!I42,"#,##0;;@")&amp;" per "&amp;'(HIDE) Data Validation'!H40&amp;" "&amp;'(HIDE) Data Validation'!A7&amp;" sales. +"&amp;'(HIDE) Data Validation'!I43&amp;" Initial Sales. +"&amp;'(HIDE) Data Validation'!I45&amp;"% increase to sales growth. Depreciation = $"&amp;TEXT('(HIDE) Data Validation'!I46,"#,##0;;@")&amp;"/yr each"</f>
        <v>$18,000 per 5000 Burgers sales. +1000 Initial Sales. +5% increase to sales growth. Depreciation = $1,800/yr each</v>
      </c>
    </row>
    <row r="22" spans="2:14" ht="6.4" customHeight="1" x14ac:dyDescent="0.25"/>
    <row r="25" spans="2:14" ht="15.75" x14ac:dyDescent="0.25">
      <c r="B25" s="29" t="s">
        <v>291</v>
      </c>
    </row>
    <row r="26" spans="2:14" x14ac:dyDescent="0.25">
      <c r="E26" s="353" t="s">
        <v>288</v>
      </c>
      <c r="F26" s="353"/>
      <c r="G26" s="353"/>
      <c r="H26" s="353"/>
      <c r="I26" s="353"/>
      <c r="J26" s="353"/>
      <c r="K26" s="353"/>
    </row>
    <row r="27" spans="2:14" ht="6.4" customHeight="1" x14ac:dyDescent="0.25">
      <c r="E27" s="3"/>
      <c r="F27" s="3"/>
      <c r="G27" s="3"/>
      <c r="H27" s="3"/>
      <c r="I27" s="3"/>
      <c r="J27" s="3"/>
      <c r="K27" s="3"/>
    </row>
    <row r="28" spans="2:14" x14ac:dyDescent="0.25">
      <c r="E28" s="332" t="s">
        <v>558</v>
      </c>
      <c r="F28" s="332"/>
      <c r="G28" s="332"/>
      <c r="H28" s="332"/>
      <c r="I28" s="332"/>
      <c r="J28" s="332"/>
      <c r="K28" s="332"/>
    </row>
    <row r="29" spans="2:14" x14ac:dyDescent="0.25">
      <c r="E29" s="332"/>
      <c r="F29" s="332"/>
      <c r="G29" s="332"/>
      <c r="H29" s="332"/>
      <c r="I29" s="332"/>
      <c r="J29" s="332"/>
      <c r="K29" s="332"/>
      <c r="N29" s="158"/>
    </row>
    <row r="30" spans="2:14" ht="40.35" customHeight="1" x14ac:dyDescent="0.25">
      <c r="E30" s="332"/>
      <c r="F30" s="332"/>
      <c r="G30" s="332"/>
      <c r="H30" s="332"/>
      <c r="I30" s="332"/>
      <c r="J30" s="332"/>
      <c r="K30" s="332"/>
    </row>
    <row r="31" spans="2:14" ht="6.4" customHeight="1" x14ac:dyDescent="0.25">
      <c r="E31" s="3"/>
      <c r="F31" s="3"/>
      <c r="G31" s="3"/>
      <c r="H31" s="3"/>
      <c r="I31" s="3"/>
      <c r="J31" s="3"/>
      <c r="K31" s="3"/>
    </row>
    <row r="32" spans="2:14" x14ac:dyDescent="0.25">
      <c r="E32" s="332" t="s">
        <v>546</v>
      </c>
      <c r="F32" s="332"/>
      <c r="G32" s="332"/>
      <c r="H32" s="332"/>
      <c r="I32" s="332"/>
      <c r="J32" s="332"/>
      <c r="K32" s="332"/>
    </row>
    <row r="33" spans="5:11" x14ac:dyDescent="0.25">
      <c r="E33" s="332"/>
      <c r="F33" s="332"/>
      <c r="G33" s="332"/>
      <c r="H33" s="332"/>
      <c r="I33" s="332"/>
      <c r="J33" s="332"/>
      <c r="K33" s="332"/>
    </row>
    <row r="34" spans="5:11" x14ac:dyDescent="0.25">
      <c r="E34" s="332"/>
      <c r="F34" s="332"/>
      <c r="G34" s="332"/>
      <c r="H34" s="332"/>
      <c r="I34" s="332"/>
      <c r="J34" s="332"/>
      <c r="K34" s="332"/>
    </row>
    <row r="35" spans="5:11" ht="6.4" customHeight="1" x14ac:dyDescent="0.25">
      <c r="E35" s="3"/>
      <c r="F35" s="3"/>
      <c r="G35" s="3"/>
      <c r="H35" s="3"/>
      <c r="I35" s="3"/>
      <c r="J35" s="3"/>
      <c r="K35" s="3"/>
    </row>
    <row r="36" spans="5:11" ht="14.85" customHeight="1" x14ac:dyDescent="0.25">
      <c r="E36" s="332" t="s">
        <v>547</v>
      </c>
      <c r="F36" s="332"/>
      <c r="G36" s="332"/>
      <c r="H36" s="332"/>
      <c r="I36" s="332"/>
      <c r="J36" s="332"/>
      <c r="K36" s="332"/>
    </row>
    <row r="37" spans="5:11" x14ac:dyDescent="0.25">
      <c r="E37" s="332"/>
      <c r="F37" s="332"/>
      <c r="G37" s="332"/>
      <c r="H37" s="332"/>
      <c r="I37" s="332"/>
      <c r="J37" s="332"/>
      <c r="K37" s="332"/>
    </row>
    <row r="38" spans="5:11" x14ac:dyDescent="0.25">
      <c r="E38" s="332"/>
      <c r="F38" s="332"/>
      <c r="G38" s="332"/>
      <c r="H38" s="332"/>
      <c r="I38" s="332"/>
      <c r="J38" s="332"/>
      <c r="K38" s="332"/>
    </row>
  </sheetData>
  <sheetProtection algorithmName="SHA-512" hashValue="Grk/9Ho+hkdq5UpWG30m6G1vIcKvR3RNB0vvun5XD/UOOTpUjZEjeLzkXIs+gWJsFV9okIPIiXpqh46uKaIATw==" saltValue="LV2wCFjCzlS+NsG15JD4sQ==" spinCount="100000" sheet="1" objects="1" scenarios="1" formatColumns="0" formatRows="0" selectLockedCells="1"/>
  <mergeCells count="7">
    <mergeCell ref="E32:K34"/>
    <mergeCell ref="E36:K38"/>
    <mergeCell ref="E26:K26"/>
    <mergeCell ref="D8:K8"/>
    <mergeCell ref="B5:K7"/>
    <mergeCell ref="B14:K16"/>
    <mergeCell ref="E28:K30"/>
  </mergeCell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Option Button 2">
              <controlPr defaultSize="0" autoFill="0" autoLine="0" autoPict="0">
                <anchor moveWithCells="1">
                  <from>
                    <xdr:col>1</xdr:col>
                    <xdr:colOff>9525</xdr:colOff>
                    <xdr:row>6</xdr:row>
                    <xdr:rowOff>171450</xdr:rowOff>
                  </from>
                  <to>
                    <xdr:col>2</xdr:col>
                    <xdr:colOff>876300</xdr:colOff>
                    <xdr:row>8</xdr:row>
                    <xdr:rowOff>19050</xdr:rowOff>
                  </to>
                </anchor>
              </controlPr>
            </control>
          </mc:Choice>
        </mc:AlternateContent>
        <mc:AlternateContent xmlns:mc="http://schemas.openxmlformats.org/markup-compatibility/2006">
          <mc:Choice Requires="x14">
            <control shapeId="35843" r:id="rId5" name="Option Button 3">
              <controlPr defaultSize="0" autoFill="0" autoLine="0" autoPict="0">
                <anchor moveWithCells="1">
                  <from>
                    <xdr:col>1</xdr:col>
                    <xdr:colOff>9525</xdr:colOff>
                    <xdr:row>9</xdr:row>
                    <xdr:rowOff>0</xdr:rowOff>
                  </from>
                  <to>
                    <xdr:col>2</xdr:col>
                    <xdr:colOff>876300</xdr:colOff>
                    <xdr:row>10</xdr:row>
                    <xdr:rowOff>28575</xdr:rowOff>
                  </to>
                </anchor>
              </controlPr>
            </control>
          </mc:Choice>
        </mc:AlternateContent>
        <mc:AlternateContent xmlns:mc="http://schemas.openxmlformats.org/markup-compatibility/2006">
          <mc:Choice Requires="x14">
            <control shapeId="35844" r:id="rId6" name="Group Box 4">
              <controlPr defaultSize="0" autoFill="0" autoPict="0">
                <anchor moveWithCells="1">
                  <from>
                    <xdr:col>0</xdr:col>
                    <xdr:colOff>561975</xdr:colOff>
                    <xdr:row>11</xdr:row>
                    <xdr:rowOff>123825</xdr:rowOff>
                  </from>
                  <to>
                    <xdr:col>11</xdr:col>
                    <xdr:colOff>171450</xdr:colOff>
                    <xdr:row>22</xdr:row>
                    <xdr:rowOff>76200</xdr:rowOff>
                  </to>
                </anchor>
              </controlPr>
            </control>
          </mc:Choice>
        </mc:AlternateContent>
        <mc:AlternateContent xmlns:mc="http://schemas.openxmlformats.org/markup-compatibility/2006">
          <mc:Choice Requires="x14">
            <control shapeId="35845" r:id="rId7" name="Option Button 5">
              <controlPr defaultSize="0" autoFill="0" autoLine="0" autoPict="0">
                <anchor moveWithCells="1">
                  <from>
                    <xdr:col>1</xdr:col>
                    <xdr:colOff>0</xdr:colOff>
                    <xdr:row>15</xdr:row>
                    <xdr:rowOff>171450</xdr:rowOff>
                  </from>
                  <to>
                    <xdr:col>2</xdr:col>
                    <xdr:colOff>828675</xdr:colOff>
                    <xdr:row>17</xdr:row>
                    <xdr:rowOff>19050</xdr:rowOff>
                  </to>
                </anchor>
              </controlPr>
            </control>
          </mc:Choice>
        </mc:AlternateContent>
        <mc:AlternateContent xmlns:mc="http://schemas.openxmlformats.org/markup-compatibility/2006">
          <mc:Choice Requires="x14">
            <control shapeId="35846" r:id="rId8" name="Option Button 6">
              <controlPr defaultSize="0" autoFill="0" autoLine="0" autoPict="0">
                <anchor moveWithCells="1">
                  <from>
                    <xdr:col>1</xdr:col>
                    <xdr:colOff>0</xdr:colOff>
                    <xdr:row>17</xdr:row>
                    <xdr:rowOff>76200</xdr:rowOff>
                  </from>
                  <to>
                    <xdr:col>2</xdr:col>
                    <xdr:colOff>828675</xdr:colOff>
                    <xdr:row>19</xdr:row>
                    <xdr:rowOff>28575</xdr:rowOff>
                  </to>
                </anchor>
              </controlPr>
            </control>
          </mc:Choice>
        </mc:AlternateContent>
        <mc:AlternateContent xmlns:mc="http://schemas.openxmlformats.org/markup-compatibility/2006">
          <mc:Choice Requires="x14">
            <control shapeId="35847" r:id="rId9" name="Option Button 7">
              <controlPr defaultSize="0" autoFill="0" autoLine="0" autoPict="0">
                <anchor moveWithCells="1">
                  <from>
                    <xdr:col>1</xdr:col>
                    <xdr:colOff>0</xdr:colOff>
                    <xdr:row>19</xdr:row>
                    <xdr:rowOff>76200</xdr:rowOff>
                  </from>
                  <to>
                    <xdr:col>2</xdr:col>
                    <xdr:colOff>828675</xdr:colOff>
                    <xdr:row>21</xdr:row>
                    <xdr:rowOff>28575</xdr:rowOff>
                  </to>
                </anchor>
              </controlPr>
            </control>
          </mc:Choice>
        </mc:AlternateContent>
        <mc:AlternateContent xmlns:mc="http://schemas.openxmlformats.org/markup-compatibility/2006">
          <mc:Choice Requires="x14">
            <control shapeId="35848" r:id="rId10" name="Group Box 8">
              <controlPr defaultSize="0" autoFill="0" autoPict="0">
                <anchor moveWithCells="1">
                  <from>
                    <xdr:col>0</xdr:col>
                    <xdr:colOff>561975</xdr:colOff>
                    <xdr:row>23</xdr:row>
                    <xdr:rowOff>95250</xdr:rowOff>
                  </from>
                  <to>
                    <xdr:col>11</xdr:col>
                    <xdr:colOff>161925</xdr:colOff>
                    <xdr:row>39</xdr:row>
                    <xdr:rowOff>38100</xdr:rowOff>
                  </to>
                </anchor>
              </controlPr>
            </control>
          </mc:Choice>
        </mc:AlternateContent>
        <mc:AlternateContent xmlns:mc="http://schemas.openxmlformats.org/markup-compatibility/2006">
          <mc:Choice Requires="x14">
            <control shapeId="35850" r:id="rId11" name="Option Button 10">
              <controlPr defaultSize="0" autoFill="0" autoLine="0" autoPict="0">
                <anchor moveWithCells="1">
                  <from>
                    <xdr:col>1</xdr:col>
                    <xdr:colOff>0</xdr:colOff>
                    <xdr:row>25</xdr:row>
                    <xdr:rowOff>0</xdr:rowOff>
                  </from>
                  <to>
                    <xdr:col>2</xdr:col>
                    <xdr:colOff>942975</xdr:colOff>
                    <xdr:row>26</xdr:row>
                    <xdr:rowOff>19050</xdr:rowOff>
                  </to>
                </anchor>
              </controlPr>
            </control>
          </mc:Choice>
        </mc:AlternateContent>
        <mc:AlternateContent xmlns:mc="http://schemas.openxmlformats.org/markup-compatibility/2006">
          <mc:Choice Requires="x14">
            <control shapeId="35851" r:id="rId12" name="Option Button 11">
              <controlPr defaultSize="0" autoFill="0" autoLine="0" autoPict="0">
                <anchor moveWithCells="1">
                  <from>
                    <xdr:col>1</xdr:col>
                    <xdr:colOff>0</xdr:colOff>
                    <xdr:row>27</xdr:row>
                    <xdr:rowOff>0</xdr:rowOff>
                  </from>
                  <to>
                    <xdr:col>3</xdr:col>
                    <xdr:colOff>276225</xdr:colOff>
                    <xdr:row>28</xdr:row>
                    <xdr:rowOff>28575</xdr:rowOff>
                  </to>
                </anchor>
              </controlPr>
            </control>
          </mc:Choice>
        </mc:AlternateContent>
        <mc:AlternateContent xmlns:mc="http://schemas.openxmlformats.org/markup-compatibility/2006">
          <mc:Choice Requires="x14">
            <control shapeId="35852" r:id="rId13" name="Option Button 12">
              <controlPr defaultSize="0" autoFill="0" autoLine="0" autoPict="0">
                <anchor moveWithCells="1">
                  <from>
                    <xdr:col>1</xdr:col>
                    <xdr:colOff>0</xdr:colOff>
                    <xdr:row>31</xdr:row>
                    <xdr:rowOff>0</xdr:rowOff>
                  </from>
                  <to>
                    <xdr:col>3</xdr:col>
                    <xdr:colOff>485775</xdr:colOff>
                    <xdr:row>32</xdr:row>
                    <xdr:rowOff>28575</xdr:rowOff>
                  </to>
                </anchor>
              </controlPr>
            </control>
          </mc:Choice>
        </mc:AlternateContent>
        <mc:AlternateContent xmlns:mc="http://schemas.openxmlformats.org/markup-compatibility/2006">
          <mc:Choice Requires="x14">
            <control shapeId="35853" r:id="rId14" name="Option Button 13">
              <controlPr defaultSize="0" autoFill="0" autoLine="0" autoPict="0">
                <anchor moveWithCells="1">
                  <from>
                    <xdr:col>1</xdr:col>
                    <xdr:colOff>0</xdr:colOff>
                    <xdr:row>35</xdr:row>
                    <xdr:rowOff>0</xdr:rowOff>
                  </from>
                  <to>
                    <xdr:col>2</xdr:col>
                    <xdr:colOff>942975</xdr:colOff>
                    <xdr:row>36</xdr:row>
                    <xdr:rowOff>28575</xdr:rowOff>
                  </to>
                </anchor>
              </controlPr>
            </control>
          </mc:Choice>
        </mc:AlternateContent>
        <mc:AlternateContent xmlns:mc="http://schemas.openxmlformats.org/markup-compatibility/2006">
          <mc:Choice Requires="x14">
            <control shapeId="35841" r:id="rId15" name="Group Box 1">
              <controlPr defaultSize="0" autoFill="0" autoPict="0">
                <anchor moveWithCells="1">
                  <from>
                    <xdr:col>0</xdr:col>
                    <xdr:colOff>561975</xdr:colOff>
                    <xdr:row>2</xdr:row>
                    <xdr:rowOff>133350</xdr:rowOff>
                  </from>
                  <to>
                    <xdr:col>11</xdr:col>
                    <xdr:colOff>180975</xdr:colOff>
                    <xdr:row>10</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B1:V36"/>
  <sheetViews>
    <sheetView zoomScaleNormal="100" workbookViewId="0">
      <selection activeCell="B10" sqref="B10"/>
    </sheetView>
  </sheetViews>
  <sheetFormatPr defaultColWidth="8.85546875" defaultRowHeight="15" x14ac:dyDescent="0.25"/>
  <cols>
    <col min="1" max="1" width="8.85546875" style="1"/>
    <col min="2" max="2" width="11.42578125" style="1" customWidth="1"/>
    <col min="3" max="3" width="8.85546875" style="1"/>
    <col min="4" max="4" width="11.140625" style="1" customWidth="1"/>
    <col min="5" max="5" width="8.85546875" style="1"/>
    <col min="6" max="6" width="10.85546875" style="1" customWidth="1"/>
    <col min="7" max="7" width="8.85546875" style="1"/>
    <col min="8" max="8" width="11.42578125" style="1" customWidth="1"/>
    <col min="9" max="16384" width="8.85546875" style="1"/>
  </cols>
  <sheetData>
    <row r="1" spans="2:22" ht="74.849999999999994" customHeight="1" x14ac:dyDescent="0.25"/>
    <row r="2" spans="2:22" ht="14.85" customHeight="1" x14ac:dyDescent="0.25">
      <c r="B2" s="342" t="str">
        <f>"Now that you have made all necessary decisions in regards to setting up and equipping your business, the MINIMUM total capital which you will need to raise is stated below. "&amp;"This is the estimated amount required to ensure you do not go into deficit in the Preliminary Cash Budget. Please organise your financing from the options below"</f>
        <v>Now that you have made all necessary decisions in regards to setting up and equipping your business, the MINIMUM total capital which you will need to raise is stated below. This is the estimated amount required to ensure you do not go into deficit in the Preliminary Cash Budget. Please organise your financing from the options below</v>
      </c>
      <c r="C2" s="342"/>
      <c r="D2" s="342"/>
      <c r="E2" s="342"/>
      <c r="F2" s="342"/>
      <c r="G2" s="342"/>
      <c r="H2" s="342"/>
      <c r="I2" s="342"/>
      <c r="J2" s="342"/>
      <c r="K2" s="342"/>
      <c r="L2" s="342"/>
      <c r="M2" s="342"/>
      <c r="N2" s="342"/>
    </row>
    <row r="3" spans="2:22" ht="51.6" customHeight="1" x14ac:dyDescent="0.25">
      <c r="B3" s="342"/>
      <c r="C3" s="342"/>
      <c r="D3" s="342"/>
      <c r="E3" s="342"/>
      <c r="F3" s="342"/>
      <c r="G3" s="342"/>
      <c r="H3" s="342"/>
      <c r="I3" s="342"/>
      <c r="J3" s="342"/>
      <c r="K3" s="342"/>
      <c r="L3" s="342"/>
      <c r="M3" s="342"/>
      <c r="N3" s="342"/>
    </row>
    <row r="4" spans="2:22" ht="23.25" customHeight="1" x14ac:dyDescent="0.25">
      <c r="B4" s="9"/>
      <c r="C4" s="9"/>
      <c r="D4" s="9"/>
      <c r="E4" s="9"/>
      <c r="F4" s="9"/>
      <c r="G4" s="9"/>
      <c r="H4" s="9"/>
      <c r="I4" s="9"/>
      <c r="J4" s="9"/>
      <c r="K4" s="9"/>
      <c r="L4" s="9"/>
      <c r="M4" s="9"/>
      <c r="N4" s="9"/>
    </row>
    <row r="5" spans="2:22" ht="71.25" customHeight="1" x14ac:dyDescent="0.25">
      <c r="B5" s="365" t="str">
        <f>"It is estimated you will need $"&amp;TEXT('(HIDE) Data Validation'!E19,"#,##0;;@")&amp;" in starting capital. Funding with debt will increase this amount"</f>
        <v>It is estimated you will need $425,865 in starting capital. Funding with debt will increase this amount</v>
      </c>
      <c r="C5" s="366"/>
      <c r="D5" s="366"/>
      <c r="E5" s="366"/>
      <c r="F5" s="366"/>
      <c r="G5" s="366"/>
      <c r="H5" s="366"/>
      <c r="I5" s="367"/>
    </row>
    <row r="6" spans="2:22" ht="21.75" customHeight="1" x14ac:dyDescent="0.25"/>
    <row r="7" spans="2:22" x14ac:dyDescent="0.25">
      <c r="B7" s="7" t="s">
        <v>151</v>
      </c>
      <c r="D7" s="1" t="s">
        <v>527</v>
      </c>
    </row>
    <row r="8" spans="2:22" ht="6.4" customHeight="1" thickBot="1" x14ac:dyDescent="0.3"/>
    <row r="9" spans="2:22" ht="15.75" thickBot="1" x14ac:dyDescent="0.3">
      <c r="B9" s="153">
        <f>'(HIDE) Data Validation'!D19</f>
        <v>100000</v>
      </c>
    </row>
    <row r="10" spans="2:22" x14ac:dyDescent="0.25">
      <c r="B10" s="310"/>
      <c r="C10" s="296" t="s">
        <v>715</v>
      </c>
    </row>
    <row r="11" spans="2:22" ht="15.75" thickBot="1" x14ac:dyDescent="0.3"/>
    <row r="12" spans="2:22" ht="18.600000000000001" customHeight="1" x14ac:dyDescent="0.25">
      <c r="B12" s="7" t="s">
        <v>153</v>
      </c>
      <c r="C12" s="1" t="s">
        <v>674</v>
      </c>
      <c r="K12" s="355" t="str">
        <f>"You still need to raise $"&amp;TEXT('(HIDE) Data Validation'!B26,"#,##0;;@")&amp;IF('(HIDE) Data Validation'!B26&gt;0,". If you do not meet this requirement, you will lose marks","")</f>
        <v>You still need to raise $275,865. If you do not meet this requirement, you will lose marks</v>
      </c>
      <c r="L12" s="356"/>
      <c r="M12" s="356"/>
      <c r="N12" s="356"/>
      <c r="O12" s="356"/>
      <c r="P12" s="356"/>
      <c r="Q12" s="356"/>
      <c r="R12" s="356"/>
      <c r="S12" s="356"/>
      <c r="T12" s="356"/>
      <c r="U12" s="356"/>
      <c r="V12" s="357"/>
    </row>
    <row r="13" spans="2:22" ht="6.4" customHeight="1" x14ac:dyDescent="0.25">
      <c r="K13" s="358"/>
      <c r="L13" s="359"/>
      <c r="M13" s="359"/>
      <c r="N13" s="359"/>
      <c r="O13" s="359"/>
      <c r="P13" s="359"/>
      <c r="Q13" s="359"/>
      <c r="R13" s="359"/>
      <c r="S13" s="359"/>
      <c r="T13" s="359"/>
      <c r="U13" s="359"/>
      <c r="V13" s="360"/>
    </row>
    <row r="14" spans="2:22" ht="6" customHeight="1" thickBot="1" x14ac:dyDescent="0.3">
      <c r="K14" s="358"/>
      <c r="L14" s="359"/>
      <c r="M14" s="359"/>
      <c r="N14" s="359"/>
      <c r="O14" s="359"/>
      <c r="P14" s="359"/>
      <c r="Q14" s="359"/>
      <c r="R14" s="359"/>
      <c r="S14" s="359"/>
      <c r="T14" s="359"/>
      <c r="U14" s="359"/>
      <c r="V14" s="360"/>
    </row>
    <row r="15" spans="2:22" ht="15.4" customHeight="1" thickBot="1" x14ac:dyDescent="0.3">
      <c r="B15" s="153">
        <f>'(HIDE) Data Validation'!D20</f>
        <v>50000</v>
      </c>
      <c r="G15" s="1" t="str">
        <f>"Yearly Interest will be $"&amp;TEXT('(HIDE) Data Validation'!B24,"#,##0;;@")</f>
        <v>Yearly Interest will be $2,300</v>
      </c>
      <c r="K15" s="358"/>
      <c r="L15" s="359"/>
      <c r="M15" s="359"/>
      <c r="N15" s="359"/>
      <c r="O15" s="359"/>
      <c r="P15" s="359"/>
      <c r="Q15" s="359"/>
      <c r="R15" s="359"/>
      <c r="S15" s="359"/>
      <c r="T15" s="359"/>
      <c r="U15" s="359"/>
      <c r="V15" s="360"/>
    </row>
    <row r="16" spans="2:22" ht="15.4" customHeight="1" x14ac:dyDescent="0.25">
      <c r="B16" s="293"/>
      <c r="C16" s="296" t="s">
        <v>715</v>
      </c>
      <c r="K16" s="358"/>
      <c r="L16" s="359"/>
      <c r="M16" s="359"/>
      <c r="N16" s="359"/>
      <c r="O16" s="359"/>
      <c r="P16" s="359"/>
      <c r="Q16" s="359"/>
      <c r="R16" s="359"/>
      <c r="S16" s="359"/>
      <c r="T16" s="359"/>
      <c r="U16" s="359"/>
      <c r="V16" s="360"/>
    </row>
    <row r="17" spans="2:22" ht="15.75" customHeight="1" thickBot="1" x14ac:dyDescent="0.3">
      <c r="B17" s="364" t="s">
        <v>706</v>
      </c>
      <c r="C17" s="364"/>
      <c r="D17" s="364"/>
      <c r="E17" s="364"/>
      <c r="F17" s="364"/>
      <c r="G17" s="364"/>
      <c r="H17" s="364"/>
      <c r="I17" s="364"/>
      <c r="K17" s="361"/>
      <c r="L17" s="362"/>
      <c r="M17" s="362"/>
      <c r="N17" s="362"/>
      <c r="O17" s="362"/>
      <c r="P17" s="362"/>
      <c r="Q17" s="362"/>
      <c r="R17" s="362"/>
      <c r="S17" s="362"/>
      <c r="T17" s="362"/>
      <c r="U17" s="362"/>
      <c r="V17" s="363"/>
    </row>
    <row r="18" spans="2:22" ht="9.1999999999999993" customHeight="1" x14ac:dyDescent="0.25"/>
    <row r="19" spans="2:22" ht="15" customHeight="1" x14ac:dyDescent="0.25">
      <c r="B19" s="1" t="s">
        <v>736</v>
      </c>
    </row>
    <row r="20" spans="2:22" ht="15" customHeight="1" thickBot="1" x14ac:dyDescent="0.3">
      <c r="B20" s="1" t="str">
        <f>"Interest rate will be "&amp;'(HIDE) Data Validation'!B29&amp;"% p.a."</f>
        <v>Interest rate will be 4.6% p.a.</v>
      </c>
      <c r="G20" s="5" t="str">
        <f>"Monthly Repayments will be $"&amp;TEXT('(HIDE) Data Validation'!B31,"#,###.##;;@")</f>
        <v>Monthly Repayments will be $1,489.58</v>
      </c>
    </row>
    <row r="21" spans="2:22" ht="15.75" thickBot="1" x14ac:dyDescent="0.3">
      <c r="B21" s="153" t="str">
        <f>'(HIDE) Data Validation'!D28&amp;" years"</f>
        <v>3 years</v>
      </c>
      <c r="G21" s="5" t="str">
        <f>"Total Repayments will be $"&amp;TEXT('(HIDE) Data Validation'!B34,"#,##0;;@")</f>
        <v>Total Repayments will be $53,625</v>
      </c>
    </row>
    <row r="22" spans="2:22" x14ac:dyDescent="0.25">
      <c r="B22" s="293"/>
      <c r="C22" s="296" t="s">
        <v>715</v>
      </c>
      <c r="G22" s="5"/>
    </row>
    <row r="23" spans="2:22" x14ac:dyDescent="0.25">
      <c r="C23" s="297" t="s">
        <v>737</v>
      </c>
    </row>
    <row r="25" spans="2:22" x14ac:dyDescent="0.25">
      <c r="B25" s="7" t="s">
        <v>163</v>
      </c>
      <c r="D25" s="1" t="s">
        <v>162</v>
      </c>
    </row>
    <row r="26" spans="2:22" ht="7.15" customHeight="1" x14ac:dyDescent="0.25"/>
    <row r="27" spans="2:22" ht="15" customHeight="1" thickBot="1" x14ac:dyDescent="0.3">
      <c r="B27" s="1" t="s">
        <v>738</v>
      </c>
      <c r="G27" s="1" t="str">
        <f>'(HIDE) Data Validation'!B23&amp;"% of profits will go to investors"</f>
        <v>0% of profits will go to investors</v>
      </c>
    </row>
    <row r="28" spans="2:22" ht="15.75" thickBot="1" x14ac:dyDescent="0.3">
      <c r="B28" s="153">
        <f>'(HIDE) Data Validation'!D21</f>
        <v>0</v>
      </c>
      <c r="G28" s="1" t="str">
        <f>'(HIDE) Data Validation'!C23&amp;"% of profits will go to you"</f>
        <v>100% of profits will go to you</v>
      </c>
    </row>
    <row r="29" spans="2:22" x14ac:dyDescent="0.25">
      <c r="B29" s="293"/>
      <c r="C29" s="296" t="s">
        <v>715</v>
      </c>
    </row>
    <row r="30" spans="2:22" x14ac:dyDescent="0.25">
      <c r="C30" s="297"/>
    </row>
    <row r="32" spans="2:22" ht="18.75" x14ac:dyDescent="0.3">
      <c r="B32" s="40" t="s">
        <v>222</v>
      </c>
      <c r="C32" s="42"/>
    </row>
    <row r="33" spans="2:3" ht="18.75" x14ac:dyDescent="0.3">
      <c r="B33" s="226" t="s">
        <v>204</v>
      </c>
      <c r="C33" s="42" t="str">
        <f>IF('Business Setup'!F3="","Your company",'Business Setup'!F3)&amp;" will keep approximately 7 days of inventory on hand at all times"</f>
        <v>Your company will keep approximately 7 days of inventory on hand at all times</v>
      </c>
    </row>
    <row r="34" spans="2:3" ht="18.75" x14ac:dyDescent="0.3">
      <c r="B34" s="226" t="s">
        <v>204</v>
      </c>
      <c r="C34" s="42" t="s">
        <v>574</v>
      </c>
    </row>
    <row r="35" spans="2:3" ht="18.75" x14ac:dyDescent="0.3">
      <c r="B35" s="226" t="s">
        <v>204</v>
      </c>
      <c r="C35" s="42" t="s">
        <v>598</v>
      </c>
    </row>
    <row r="36" spans="2:3" ht="18.75" x14ac:dyDescent="0.3">
      <c r="B36" s="226" t="s">
        <v>204</v>
      </c>
      <c r="C36" s="42" t="s">
        <v>687</v>
      </c>
    </row>
  </sheetData>
  <sheetProtection algorithmName="SHA-512" hashValue="FqVaDfoHnUYUaIojCnj/g8lrCJK0tcC7it3DLupocDdSbSSEDKwy8J0Rzj98p1mJSortO1LES0J/ND0VEQeL+w==" saltValue="1pv5BunsdtNzIPysuPpLZA==" spinCount="100000" sheet="1" objects="1" scenarios="1" formatColumns="0" formatRows="0" selectLockedCells="1"/>
  <mergeCells count="4">
    <mergeCell ref="B2:N3"/>
    <mergeCell ref="K12:V17"/>
    <mergeCell ref="B17:I17"/>
    <mergeCell ref="B5:I5"/>
  </mergeCells>
  <dataValidations count="4">
    <dataValidation type="whole" allowBlank="1" showErrorMessage="1" errorTitle="Numbers Only" error="Only whole numbers between $0 and $100,000 allowed" promptTitle="Numbers only" prompt="This is a sum of money. Numbers only." sqref="B10" xr:uid="{00000000-0002-0000-0600-000000000000}">
      <formula1>0</formula1>
      <formula2>100000</formula2>
    </dataValidation>
    <dataValidation type="whole" allowBlank="1" showErrorMessage="1" error="Only whole numbers between $50,000 and $500,000 allowed" sqref="B16" xr:uid="{00000000-0002-0000-0600-000001000000}">
      <formula1>50000</formula1>
      <formula2>500000</formula2>
    </dataValidation>
    <dataValidation type="whole" allowBlank="1" showErrorMessage="1" error="Only whole numbers between 3 and 30 allowed" sqref="B22" xr:uid="{00000000-0002-0000-0600-000002000000}">
      <formula1>3</formula1>
      <formula2>30</formula2>
    </dataValidation>
    <dataValidation type="whole" allowBlank="1" showErrorMessage="1" error="Only whole numbers between $0 and $2,000,000 allowed" sqref="B29" xr:uid="{00000000-0002-0000-0600-000003000000}">
      <formula1>0</formula1>
      <formula2>2000000</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73" r:id="rId4" name="Scroll Bar 13">
              <controlPr defaultSize="0" autoPict="0">
                <anchor moveWithCells="1">
                  <from>
                    <xdr:col>2</xdr:col>
                    <xdr:colOff>76200</xdr:colOff>
                    <xdr:row>8</xdr:row>
                    <xdr:rowOff>19050</xdr:rowOff>
                  </from>
                  <to>
                    <xdr:col>5</xdr:col>
                    <xdr:colOff>304800</xdr:colOff>
                    <xdr:row>9</xdr:row>
                    <xdr:rowOff>0</xdr:rowOff>
                  </to>
                </anchor>
              </controlPr>
            </control>
          </mc:Choice>
        </mc:AlternateContent>
        <mc:AlternateContent xmlns:mc="http://schemas.openxmlformats.org/markup-compatibility/2006">
          <mc:Choice Requires="x14">
            <control shapeId="15374" r:id="rId5" name="Scroll Bar 14">
              <controlPr defaultSize="0" autoPict="0">
                <anchor moveWithCells="1">
                  <from>
                    <xdr:col>2</xdr:col>
                    <xdr:colOff>76200</xdr:colOff>
                    <xdr:row>14</xdr:row>
                    <xdr:rowOff>19050</xdr:rowOff>
                  </from>
                  <to>
                    <xdr:col>5</xdr:col>
                    <xdr:colOff>304800</xdr:colOff>
                    <xdr:row>15</xdr:row>
                    <xdr:rowOff>0</xdr:rowOff>
                  </to>
                </anchor>
              </controlPr>
            </control>
          </mc:Choice>
        </mc:AlternateContent>
        <mc:AlternateContent xmlns:mc="http://schemas.openxmlformats.org/markup-compatibility/2006">
          <mc:Choice Requires="x14">
            <control shapeId="15375" r:id="rId6" name="Scroll Bar 15">
              <controlPr defaultSize="0" autoPict="0">
                <anchor moveWithCells="1">
                  <from>
                    <xdr:col>2</xdr:col>
                    <xdr:colOff>47625</xdr:colOff>
                    <xdr:row>27</xdr:row>
                    <xdr:rowOff>9525</xdr:rowOff>
                  </from>
                  <to>
                    <xdr:col>5</xdr:col>
                    <xdr:colOff>285750</xdr:colOff>
                    <xdr:row>28</xdr:row>
                    <xdr:rowOff>0</xdr:rowOff>
                  </to>
                </anchor>
              </controlPr>
            </control>
          </mc:Choice>
        </mc:AlternateContent>
        <mc:AlternateContent xmlns:mc="http://schemas.openxmlformats.org/markup-compatibility/2006">
          <mc:Choice Requires="x14">
            <control shapeId="15376" r:id="rId7" name="Scroll Bar 16">
              <controlPr defaultSize="0" autoPict="0">
                <anchor moveWithCells="1">
                  <from>
                    <xdr:col>2</xdr:col>
                    <xdr:colOff>76200</xdr:colOff>
                    <xdr:row>20</xdr:row>
                    <xdr:rowOff>19050</xdr:rowOff>
                  </from>
                  <to>
                    <xdr:col>5</xdr:col>
                    <xdr:colOff>304800</xdr:colOff>
                    <xdr:row>21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B1:O39"/>
  <sheetViews>
    <sheetView zoomScale="85" zoomScaleNormal="85" workbookViewId="0">
      <selection activeCell="K6" sqref="K6"/>
    </sheetView>
  </sheetViews>
  <sheetFormatPr defaultColWidth="8.85546875" defaultRowHeight="15" x14ac:dyDescent="0.25"/>
  <cols>
    <col min="1" max="1" width="4.28515625" style="1" customWidth="1"/>
    <col min="2" max="2" width="48.5703125" style="1" customWidth="1"/>
    <col min="3" max="9" width="15.5703125" style="1" customWidth="1"/>
    <col min="10" max="14" width="14.28515625" style="1" customWidth="1"/>
    <col min="15" max="15" width="14.28515625" style="7" customWidth="1"/>
    <col min="16" max="16384" width="8.85546875" style="1"/>
  </cols>
  <sheetData>
    <row r="1" spans="2:15" ht="18.75" x14ac:dyDescent="0.3">
      <c r="B1" s="368" t="str">
        <f>IF('Business Setup'!F3="","UNNAMED",'Business Setup'!F3)</f>
        <v>UNNAMED</v>
      </c>
      <c r="C1" s="368"/>
      <c r="D1" s="368"/>
      <c r="E1" s="368"/>
      <c r="F1" s="368"/>
      <c r="G1" s="368"/>
      <c r="H1" s="368"/>
      <c r="I1" s="368"/>
      <c r="O1" s="1"/>
    </row>
    <row r="2" spans="2:15" ht="18.75" x14ac:dyDescent="0.3">
      <c r="B2" s="368" t="s">
        <v>0</v>
      </c>
      <c r="C2" s="368"/>
      <c r="D2" s="368"/>
      <c r="E2" s="368"/>
      <c r="F2" s="368"/>
      <c r="G2" s="368"/>
      <c r="H2" s="368"/>
      <c r="I2" s="368"/>
      <c r="O2" s="1"/>
    </row>
    <row r="3" spans="2:15" ht="18.75" x14ac:dyDescent="0.3">
      <c r="B3" s="368" t="s">
        <v>325</v>
      </c>
      <c r="C3" s="368"/>
      <c r="D3" s="368"/>
      <c r="E3" s="368"/>
      <c r="F3" s="368"/>
      <c r="G3" s="368"/>
      <c r="H3" s="368"/>
      <c r="I3" s="368"/>
      <c r="O3" s="1"/>
    </row>
    <row r="4" spans="2:15" x14ac:dyDescent="0.25">
      <c r="B4" s="349"/>
      <c r="C4" s="349"/>
      <c r="D4" s="349"/>
      <c r="E4" s="349"/>
      <c r="F4" s="349"/>
      <c r="G4" s="349"/>
      <c r="H4" s="349"/>
      <c r="O4" s="1"/>
    </row>
    <row r="5" spans="2:15" ht="15.75" x14ac:dyDescent="0.25">
      <c r="C5" s="24" t="s">
        <v>1</v>
      </c>
      <c r="D5" s="24" t="s">
        <v>2</v>
      </c>
      <c r="E5" s="24" t="s">
        <v>3</v>
      </c>
      <c r="F5" s="24" t="s">
        <v>4</v>
      </c>
      <c r="G5" s="24" t="s">
        <v>5</v>
      </c>
      <c r="H5" s="24" t="s">
        <v>6</v>
      </c>
      <c r="I5" s="25" t="s">
        <v>213</v>
      </c>
      <c r="J5" s="12"/>
      <c r="K5" s="12"/>
      <c r="L5" s="12"/>
      <c r="M5" s="12"/>
      <c r="N5" s="12"/>
      <c r="O5" s="15"/>
    </row>
    <row r="6" spans="2:15" ht="15.75" x14ac:dyDescent="0.25">
      <c r="B6" s="109" t="s">
        <v>13</v>
      </c>
      <c r="C6" s="114" t="s">
        <v>38</v>
      </c>
      <c r="D6" s="114" t="s">
        <v>38</v>
      </c>
      <c r="E6" s="114" t="s">
        <v>38</v>
      </c>
      <c r="F6" s="114" t="s">
        <v>38</v>
      </c>
      <c r="G6" s="114" t="s">
        <v>38</v>
      </c>
      <c r="H6" s="114" t="s">
        <v>38</v>
      </c>
      <c r="I6" s="114" t="s">
        <v>38</v>
      </c>
      <c r="K6" s="158"/>
    </row>
    <row r="7" spans="2:15" x14ac:dyDescent="0.25">
      <c r="B7" s="20" t="s">
        <v>153</v>
      </c>
      <c r="C7" s="111">
        <f>'(HIDE) Data Validation'!D20</f>
        <v>50000</v>
      </c>
      <c r="D7" s="111"/>
      <c r="E7" s="111"/>
      <c r="F7" s="111"/>
      <c r="G7" s="111"/>
      <c r="H7" s="111"/>
      <c r="I7" s="111">
        <f>SUM(C7:H7)</f>
        <v>50000</v>
      </c>
      <c r="J7" s="16"/>
      <c r="K7" s="16"/>
      <c r="L7" s="16"/>
      <c r="M7" s="16"/>
      <c r="N7" s="16"/>
      <c r="O7" s="17"/>
    </row>
    <row r="8" spans="2:15" x14ac:dyDescent="0.25">
      <c r="B8" s="104" t="s">
        <v>163</v>
      </c>
      <c r="C8" s="115">
        <f>'(HIDE) Data Validation'!D21</f>
        <v>0</v>
      </c>
      <c r="D8" s="115"/>
      <c r="E8" s="115"/>
      <c r="F8" s="115"/>
      <c r="G8" s="115"/>
      <c r="H8" s="115"/>
      <c r="I8" s="115">
        <f>SUM(C8:H8)</f>
        <v>0</v>
      </c>
      <c r="J8" s="16"/>
      <c r="K8" s="16"/>
      <c r="L8" s="16"/>
      <c r="M8" s="16"/>
      <c r="N8" s="16"/>
      <c r="O8" s="17"/>
    </row>
    <row r="9" spans="2:15" x14ac:dyDescent="0.25">
      <c r="B9" s="20" t="s">
        <v>223</v>
      </c>
      <c r="C9" s="111">
        <f>'(HIDE) Data Validation'!N42</f>
        <v>42686</v>
      </c>
      <c r="D9" s="111">
        <f>'(HIDE) Data Validation'!O42</f>
        <v>75243</v>
      </c>
      <c r="E9" s="111">
        <f>'(HIDE) Data Validation'!P42</f>
        <v>83944</v>
      </c>
      <c r="F9" s="111">
        <f>'(HIDE) Data Validation'!Q42</f>
        <v>125776</v>
      </c>
      <c r="G9" s="111">
        <f>'(HIDE) Data Validation'!R42</f>
        <v>149793</v>
      </c>
      <c r="H9" s="111">
        <f>'(HIDE) Data Validation'!S42</f>
        <v>125069</v>
      </c>
      <c r="I9" s="111">
        <f>SUM(C9:H9)</f>
        <v>602511</v>
      </c>
      <c r="J9" s="16"/>
      <c r="K9" s="16"/>
      <c r="L9" s="16"/>
      <c r="M9" s="16"/>
      <c r="N9" s="16"/>
      <c r="O9" s="17"/>
    </row>
    <row r="10" spans="2:15" x14ac:dyDescent="0.25">
      <c r="B10" s="104" t="s">
        <v>224</v>
      </c>
      <c r="C10" s="105">
        <f>'(HIDE) Data Validation'!N101</f>
        <v>3658.8</v>
      </c>
      <c r="D10" s="105">
        <f>'(HIDE) Data Validation'!O101</f>
        <v>15596.4</v>
      </c>
      <c r="E10" s="105">
        <f>'(HIDE) Data Validation'!P101</f>
        <v>28806.9</v>
      </c>
      <c r="F10" s="105">
        <f>'(HIDE) Data Validation'!Q101</f>
        <v>38442.9</v>
      </c>
      <c r="G10" s="105">
        <f>'(HIDE) Data Validation'!R101</f>
        <v>50584.2</v>
      </c>
      <c r="H10" s="105">
        <f>'(HIDE) Data Validation'!S101</f>
        <v>58989.9</v>
      </c>
      <c r="I10" s="115">
        <f>SUM(C10:H10)</f>
        <v>196079.1</v>
      </c>
      <c r="J10" s="16"/>
      <c r="K10" s="16"/>
      <c r="L10" s="16"/>
      <c r="M10" s="16"/>
      <c r="N10" s="16"/>
      <c r="O10" s="17"/>
    </row>
    <row r="11" spans="2:15" ht="15" customHeight="1" x14ac:dyDescent="0.25">
      <c r="B11" s="20" t="s">
        <v>683</v>
      </c>
      <c r="C11" s="111"/>
      <c r="D11" s="111">
        <f>'(HIDE) Data Validation'!O124</f>
        <v>8000</v>
      </c>
      <c r="E11" s="111">
        <f>'(HIDE) Data Validation'!P124</f>
        <v>26000</v>
      </c>
      <c r="F11" s="111">
        <f>'(HIDE) Data Validation'!Q124</f>
        <v>18000</v>
      </c>
      <c r="G11" s="111">
        <f>'(HIDE) Data Validation'!R124</f>
        <v>11000</v>
      </c>
      <c r="H11" s="111">
        <f>'(HIDE) Data Validation'!S124</f>
        <v>0</v>
      </c>
      <c r="I11" s="111">
        <f>'(HIDE) Data Validation'!T124</f>
        <v>0</v>
      </c>
      <c r="J11" s="16"/>
      <c r="K11" s="16"/>
      <c r="L11" s="16"/>
      <c r="M11" s="16"/>
      <c r="N11" s="16"/>
      <c r="O11" s="17"/>
    </row>
    <row r="12" spans="2:15" x14ac:dyDescent="0.25">
      <c r="B12" s="104"/>
      <c r="C12" s="105"/>
      <c r="D12" s="105"/>
      <c r="E12" s="105"/>
      <c r="F12" s="105"/>
      <c r="G12" s="105"/>
      <c r="H12" s="105"/>
      <c r="I12" s="115"/>
      <c r="J12" s="16"/>
      <c r="K12" s="16"/>
      <c r="L12" s="16"/>
      <c r="M12" s="16"/>
      <c r="N12" s="16"/>
      <c r="O12" s="17"/>
    </row>
    <row r="13" spans="2:15" s="7" customFormat="1" ht="15.75" x14ac:dyDescent="0.25">
      <c r="B13" s="21" t="s">
        <v>15</v>
      </c>
      <c r="C13" s="112">
        <f t="shared" ref="C13:H13" si="0">SUM(C7:C12)</f>
        <v>96344.8</v>
      </c>
      <c r="D13" s="112">
        <f t="shared" si="0"/>
        <v>98839.4</v>
      </c>
      <c r="E13" s="112">
        <f t="shared" si="0"/>
        <v>138750.9</v>
      </c>
      <c r="F13" s="112">
        <f t="shared" si="0"/>
        <v>182218.9</v>
      </c>
      <c r="G13" s="112">
        <f t="shared" si="0"/>
        <v>211377.2</v>
      </c>
      <c r="H13" s="112">
        <f t="shared" si="0"/>
        <v>184058.9</v>
      </c>
      <c r="I13" s="112">
        <f t="shared" ref="I13:I33" si="1">SUM(C13:H13)</f>
        <v>911590.1</v>
      </c>
      <c r="J13" s="17"/>
      <c r="K13" s="17"/>
      <c r="L13" s="17"/>
      <c r="M13" s="17"/>
      <c r="N13" s="17"/>
      <c r="O13" s="17"/>
    </row>
    <row r="14" spans="2:15" x14ac:dyDescent="0.25">
      <c r="B14" s="110"/>
      <c r="C14" s="115"/>
      <c r="D14" s="115"/>
      <c r="E14" s="115"/>
      <c r="F14" s="115"/>
      <c r="G14" s="115"/>
      <c r="H14" s="115"/>
      <c r="I14" s="115"/>
      <c r="J14" s="16"/>
      <c r="K14" s="16"/>
      <c r="L14" s="16"/>
      <c r="M14" s="16"/>
      <c r="N14" s="16"/>
      <c r="O14" s="17"/>
    </row>
    <row r="15" spans="2:15" ht="15.75" x14ac:dyDescent="0.25">
      <c r="B15" s="21" t="s">
        <v>16</v>
      </c>
      <c r="C15" s="111"/>
      <c r="D15" s="111"/>
      <c r="E15" s="111"/>
      <c r="F15" s="111"/>
      <c r="G15" s="111"/>
      <c r="H15" s="111"/>
      <c r="I15" s="111"/>
      <c r="J15" s="16"/>
      <c r="K15" s="16"/>
      <c r="L15" s="16"/>
      <c r="M15" s="16"/>
      <c r="N15" s="16"/>
      <c r="O15" s="17"/>
    </row>
    <row r="16" spans="2:15" x14ac:dyDescent="0.25">
      <c r="B16" s="104" t="s">
        <v>102</v>
      </c>
      <c r="C16" s="115">
        <f>'(HIDE) Data Validation'!B13</f>
        <v>120000</v>
      </c>
      <c r="D16" s="115"/>
      <c r="E16" s="115"/>
      <c r="F16" s="115"/>
      <c r="G16" s="115"/>
      <c r="H16" s="115"/>
      <c r="I16" s="115">
        <f t="shared" si="1"/>
        <v>120000</v>
      </c>
      <c r="J16" s="16"/>
      <c r="K16" s="16"/>
      <c r="L16" s="16"/>
      <c r="M16" s="16"/>
      <c r="N16" s="16"/>
      <c r="O16" s="17"/>
    </row>
    <row r="17" spans="2:15" x14ac:dyDescent="0.25">
      <c r="B17" s="20" t="s">
        <v>275</v>
      </c>
      <c r="C17" s="111">
        <f>'(HIDE) Data Validation'!N19</f>
        <v>35141</v>
      </c>
      <c r="D17" s="111">
        <f>'(HIDE) Data Validation'!O19</f>
        <v>44239</v>
      </c>
      <c r="E17" s="111">
        <f>'(HIDE) Data Validation'!P19</f>
        <v>53944</v>
      </c>
      <c r="F17" s="111">
        <f>'(HIDE) Data Validation'!Q19</f>
        <v>75303</v>
      </c>
      <c r="G17" s="111">
        <f>'(HIDE) Data Validation'!R19</f>
        <v>82064</v>
      </c>
      <c r="H17" s="111">
        <f>'(HIDE) Data Validation'!S19</f>
        <v>77517</v>
      </c>
      <c r="I17" s="111">
        <f t="shared" si="1"/>
        <v>368208</v>
      </c>
      <c r="J17" s="16"/>
      <c r="K17" s="16"/>
      <c r="L17" s="16"/>
      <c r="M17" s="16"/>
      <c r="N17" s="16"/>
      <c r="O17" s="17"/>
    </row>
    <row r="18" spans="2:15" x14ac:dyDescent="0.25">
      <c r="B18" s="104" t="s">
        <v>314</v>
      </c>
      <c r="C18" s="115">
        <f>'(HIDE) Data Validation'!N67</f>
        <v>244</v>
      </c>
      <c r="D18" s="115">
        <f>'(HIDE) Data Validation'!O67</f>
        <v>607</v>
      </c>
      <c r="E18" s="115">
        <f>'(HIDE) Data Validation'!P67</f>
        <v>480</v>
      </c>
      <c r="F18" s="115">
        <f>'(HIDE) Data Validation'!Q67</f>
        <v>719</v>
      </c>
      <c r="G18" s="115">
        <f>'(HIDE) Data Validation'!R67</f>
        <v>856</v>
      </c>
      <c r="H18" s="115">
        <f>'(HIDE) Data Validation'!S67</f>
        <v>715</v>
      </c>
      <c r="I18" s="115">
        <f t="shared" si="1"/>
        <v>3621</v>
      </c>
      <c r="J18" s="16"/>
      <c r="K18" s="16"/>
      <c r="L18" s="16"/>
      <c r="M18" s="16"/>
      <c r="N18" s="16"/>
      <c r="O18" s="17"/>
    </row>
    <row r="19" spans="2:15" x14ac:dyDescent="0.25">
      <c r="B19" s="20" t="s">
        <v>17</v>
      </c>
      <c r="C19" s="111">
        <v>0</v>
      </c>
      <c r="D19" s="111">
        <f>'(HIDE) Data Validation'!$H$13</f>
        <v>28000</v>
      </c>
      <c r="E19" s="111">
        <f>'(HIDE) Data Validation'!$H$13</f>
        <v>28000</v>
      </c>
      <c r="F19" s="111">
        <f>'(HIDE) Data Validation'!$H$13</f>
        <v>28000</v>
      </c>
      <c r="G19" s="111">
        <f>'(HIDE) Data Validation'!$H$13</f>
        <v>28000</v>
      </c>
      <c r="H19" s="111">
        <f>'(HIDE) Data Validation'!$H$13</f>
        <v>28000</v>
      </c>
      <c r="I19" s="111">
        <f t="shared" si="1"/>
        <v>140000</v>
      </c>
      <c r="J19" s="16"/>
      <c r="K19" s="16"/>
      <c r="L19" s="16"/>
      <c r="M19" s="16"/>
      <c r="N19" s="16"/>
      <c r="O19" s="17"/>
    </row>
    <row r="20" spans="2:15" x14ac:dyDescent="0.25">
      <c r="B20" s="104" t="s">
        <v>18</v>
      </c>
      <c r="C20" s="115">
        <f>'(HIDE) Data Validation'!N24</f>
        <v>0</v>
      </c>
      <c r="D20" s="115">
        <f>'(HIDE) Data Validation'!O24</f>
        <v>2400</v>
      </c>
      <c r="E20" s="115">
        <f>'(HIDE) Data Validation'!P24</f>
        <v>2400</v>
      </c>
      <c r="F20" s="115">
        <f>'(HIDE) Data Validation'!Q24</f>
        <v>2400</v>
      </c>
      <c r="G20" s="115">
        <f>'(HIDE) Data Validation'!R24</f>
        <v>3600</v>
      </c>
      <c r="H20" s="115">
        <f>'(HIDE) Data Validation'!S24</f>
        <v>4800</v>
      </c>
      <c r="I20" s="115">
        <f t="shared" si="1"/>
        <v>15600</v>
      </c>
      <c r="J20" s="16"/>
      <c r="K20" s="16"/>
      <c r="L20" s="16"/>
      <c r="M20" s="16"/>
      <c r="N20" s="16"/>
      <c r="O20" s="17"/>
    </row>
    <row r="21" spans="2:15" x14ac:dyDescent="0.25">
      <c r="B21" s="20" t="s">
        <v>19</v>
      </c>
      <c r="C21" s="111">
        <v>0</v>
      </c>
      <c r="D21" s="111">
        <v>300</v>
      </c>
      <c r="E21" s="111">
        <v>300</v>
      </c>
      <c r="F21" s="111">
        <v>300</v>
      </c>
      <c r="G21" s="111">
        <v>300</v>
      </c>
      <c r="H21" s="111">
        <v>300</v>
      </c>
      <c r="I21" s="111">
        <f t="shared" si="1"/>
        <v>1500</v>
      </c>
      <c r="J21" s="16"/>
      <c r="K21" s="16"/>
      <c r="L21" s="16"/>
      <c r="M21" s="16"/>
      <c r="N21" s="16"/>
      <c r="O21" s="17"/>
    </row>
    <row r="22" spans="2:15" x14ac:dyDescent="0.25">
      <c r="B22" s="104" t="s">
        <v>28</v>
      </c>
      <c r="C22" s="115">
        <v>0</v>
      </c>
      <c r="D22" s="115">
        <f>'(HIDE) Data Validation'!$J$3+'(HIDE) Data Validation'!J120</f>
        <v>5000</v>
      </c>
      <c r="E22" s="115">
        <f>'(HIDE) Data Validation'!$J$3</f>
        <v>5000</v>
      </c>
      <c r="F22" s="115">
        <f>'(HIDE) Data Validation'!$J$3</f>
        <v>5000</v>
      </c>
      <c r="G22" s="115">
        <f>'(HIDE) Data Validation'!$J$3</f>
        <v>5000</v>
      </c>
      <c r="H22" s="115">
        <f>'(HIDE) Data Validation'!$J$3</f>
        <v>5000</v>
      </c>
      <c r="I22" s="115">
        <f t="shared" si="1"/>
        <v>25000</v>
      </c>
      <c r="J22" s="16"/>
      <c r="K22" s="16"/>
      <c r="L22" s="16"/>
      <c r="M22" s="16"/>
      <c r="N22" s="16"/>
      <c r="O22" s="17"/>
    </row>
    <row r="23" spans="2:15" x14ac:dyDescent="0.25">
      <c r="B23" s="20" t="s">
        <v>231</v>
      </c>
      <c r="C23" s="111">
        <v>0</v>
      </c>
      <c r="D23" s="111">
        <v>6800</v>
      </c>
      <c r="E23" s="111">
        <v>6800</v>
      </c>
      <c r="F23" s="111">
        <v>6800</v>
      </c>
      <c r="G23" s="111">
        <v>6800</v>
      </c>
      <c r="H23" s="111">
        <v>6800</v>
      </c>
      <c r="I23" s="111">
        <f t="shared" si="1"/>
        <v>34000</v>
      </c>
      <c r="J23" s="16"/>
      <c r="K23" s="16"/>
      <c r="L23" s="16"/>
      <c r="M23" s="16"/>
      <c r="N23" s="16"/>
      <c r="O23" s="17"/>
    </row>
    <row r="24" spans="2:15" x14ac:dyDescent="0.25">
      <c r="B24" s="104" t="s">
        <v>21</v>
      </c>
      <c r="C24" s="115">
        <v>0</v>
      </c>
      <c r="D24" s="115">
        <f>'(HIDE) Data Validation'!O17</f>
        <v>25600</v>
      </c>
      <c r="E24" s="115">
        <f>'(HIDE) Data Validation'!P17</f>
        <v>30720</v>
      </c>
      <c r="F24" s="115">
        <f>'(HIDE) Data Validation'!Q17</f>
        <v>30720</v>
      </c>
      <c r="G24" s="115">
        <f>'(HIDE) Data Validation'!R17</f>
        <v>40960</v>
      </c>
      <c r="H24" s="115">
        <f>'(HIDE) Data Validation'!S17</f>
        <v>51200</v>
      </c>
      <c r="I24" s="115">
        <f>SUM(D24:H24)</f>
        <v>179200</v>
      </c>
      <c r="J24" s="16"/>
      <c r="K24" s="16"/>
      <c r="L24" s="16"/>
      <c r="M24" s="16"/>
      <c r="N24" s="16"/>
      <c r="O24" s="17"/>
    </row>
    <row r="25" spans="2:15" x14ac:dyDescent="0.25">
      <c r="B25" s="20" t="s">
        <v>22</v>
      </c>
      <c r="C25" s="111">
        <f>'(HIDE) Data Validation'!N126</f>
        <v>1489.58</v>
      </c>
      <c r="D25" s="111">
        <f>'(HIDE) Data Validation'!O126</f>
        <v>1727.91</v>
      </c>
      <c r="E25" s="111">
        <f>'(HIDE) Data Validation'!P126</f>
        <v>2502.5</v>
      </c>
      <c r="F25" s="111">
        <f>'(HIDE) Data Validation'!Q126</f>
        <v>3038.74</v>
      </c>
      <c r="G25" s="111">
        <f>'(HIDE) Data Validation'!R126</f>
        <v>3366.45</v>
      </c>
      <c r="H25" s="111">
        <f>'(HIDE) Data Validation'!S126</f>
        <v>3366.45</v>
      </c>
      <c r="I25" s="111">
        <f t="shared" si="1"/>
        <v>15491.630000000001</v>
      </c>
      <c r="J25" s="16"/>
      <c r="K25" s="16"/>
      <c r="L25" s="16"/>
      <c r="M25" s="16"/>
      <c r="N25" s="16"/>
      <c r="O25" s="17"/>
    </row>
    <row r="26" spans="2:15" ht="15" customHeight="1" x14ac:dyDescent="0.25">
      <c r="B26" s="104" t="s">
        <v>524</v>
      </c>
      <c r="C26" s="115">
        <f>'(HIDE) Data Validation'!I34</f>
        <v>0</v>
      </c>
      <c r="D26" s="115"/>
      <c r="E26" s="115"/>
      <c r="F26" s="115"/>
      <c r="G26" s="115"/>
      <c r="H26" s="115"/>
      <c r="I26" s="115">
        <f t="shared" si="1"/>
        <v>0</v>
      </c>
      <c r="J26" s="16"/>
      <c r="K26" s="16"/>
      <c r="L26" s="16"/>
      <c r="M26" s="16"/>
      <c r="N26" s="16"/>
      <c r="O26" s="17"/>
    </row>
    <row r="27" spans="2:15" x14ac:dyDescent="0.25">
      <c r="B27" s="20" t="s">
        <v>526</v>
      </c>
      <c r="C27" s="111">
        <f>'(HIDE) Data Validation'!N50</f>
        <v>5000</v>
      </c>
      <c r="D27" s="111">
        <f>'(HIDE) Data Validation'!O50</f>
        <v>2500</v>
      </c>
      <c r="E27" s="111">
        <f>'(HIDE) Data Validation'!P50</f>
        <v>0</v>
      </c>
      <c r="F27" s="111">
        <f>'(HIDE) Data Validation'!Q50</f>
        <v>2500</v>
      </c>
      <c r="G27" s="111">
        <f>'(HIDE) Data Validation'!R50</f>
        <v>2500</v>
      </c>
      <c r="H27" s="111">
        <f>'(HIDE) Data Validation'!S50</f>
        <v>0</v>
      </c>
      <c r="I27" s="111">
        <f t="shared" si="1"/>
        <v>12500</v>
      </c>
      <c r="J27" s="16"/>
      <c r="K27" s="16"/>
      <c r="L27" s="16"/>
      <c r="M27" s="16"/>
      <c r="N27" s="16"/>
      <c r="O27" s="17"/>
    </row>
    <row r="28" spans="2:15" x14ac:dyDescent="0.25">
      <c r="B28" s="104" t="s">
        <v>525</v>
      </c>
      <c r="C28" s="115">
        <f>'(HIDE) Data Validation'!N36</f>
        <v>42000</v>
      </c>
      <c r="D28" s="115">
        <f>'(HIDE) Data Validation'!O36</f>
        <v>0</v>
      </c>
      <c r="E28" s="115">
        <f>'(HIDE) Data Validation'!P36</f>
        <v>0</v>
      </c>
      <c r="F28" s="115">
        <f>'(HIDE) Data Validation'!Q36</f>
        <v>21000</v>
      </c>
      <c r="G28" s="115">
        <f>'(HIDE) Data Validation'!R36</f>
        <v>21000</v>
      </c>
      <c r="H28" s="115">
        <f>'(HIDE) Data Validation'!S36</f>
        <v>0</v>
      </c>
      <c r="I28" s="115">
        <f t="shared" si="1"/>
        <v>84000</v>
      </c>
      <c r="J28" s="16"/>
      <c r="K28" s="16"/>
      <c r="L28" s="16"/>
      <c r="M28" s="16"/>
      <c r="N28" s="16"/>
      <c r="O28" s="17"/>
    </row>
    <row r="29" spans="2:15" x14ac:dyDescent="0.25">
      <c r="B29" s="20" t="s">
        <v>148</v>
      </c>
      <c r="C29" s="111" t="str">
        <f>'(HIDE) Data Validation'!$B$16</f>
        <v/>
      </c>
      <c r="D29" s="111" t="str">
        <f>'(HIDE) Data Validation'!$B$16</f>
        <v/>
      </c>
      <c r="E29" s="111" t="str">
        <f>'(HIDE) Data Validation'!$B$16</f>
        <v/>
      </c>
      <c r="F29" s="111" t="str">
        <f>'(HIDE) Data Validation'!$B$16</f>
        <v/>
      </c>
      <c r="G29" s="111" t="str">
        <f>'(HIDE) Data Validation'!$B$16</f>
        <v/>
      </c>
      <c r="H29" s="111" t="str">
        <f>'(HIDE) Data Validation'!$B$16</f>
        <v/>
      </c>
      <c r="I29" s="111">
        <f t="shared" si="1"/>
        <v>0</v>
      </c>
      <c r="J29" s="16"/>
      <c r="K29" s="16"/>
      <c r="L29" s="16"/>
      <c r="M29" s="16"/>
      <c r="N29" s="16"/>
      <c r="O29" s="17"/>
    </row>
    <row r="30" spans="2:15" x14ac:dyDescent="0.25">
      <c r="B30" s="104" t="str">
        <f>'(HIDE) Data Validation'!K54</f>
        <v/>
      </c>
      <c r="C30" s="115" t="str">
        <f>'(HIDE) Data Validation'!N65</f>
        <v/>
      </c>
      <c r="D30" s="115" t="str">
        <f>'(HIDE) Data Validation'!O65</f>
        <v/>
      </c>
      <c r="E30" s="115" t="str">
        <f>'(HIDE) Data Validation'!P65</f>
        <v/>
      </c>
      <c r="F30" s="115" t="str">
        <f>'(HIDE) Data Validation'!Q65</f>
        <v/>
      </c>
      <c r="G30" s="115" t="str">
        <f>'(HIDE) Data Validation'!R65</f>
        <v/>
      </c>
      <c r="H30" s="115" t="str">
        <f>'(HIDE) Data Validation'!S65</f>
        <v/>
      </c>
      <c r="I30" s="115">
        <f t="shared" si="1"/>
        <v>0</v>
      </c>
      <c r="J30" s="16"/>
      <c r="K30" s="16"/>
      <c r="L30" s="16"/>
      <c r="M30" s="16"/>
      <c r="N30" s="16"/>
      <c r="O30" s="17"/>
    </row>
    <row r="31" spans="2:15" s="7" customFormat="1" ht="15.75" x14ac:dyDescent="0.25">
      <c r="B31" s="21" t="s">
        <v>23</v>
      </c>
      <c r="C31" s="112">
        <f t="shared" ref="C31:H31" si="2">SUM(C16:C30)</f>
        <v>203874.58</v>
      </c>
      <c r="D31" s="112">
        <f t="shared" si="2"/>
        <v>117173.91</v>
      </c>
      <c r="E31" s="112">
        <f t="shared" si="2"/>
        <v>130146.5</v>
      </c>
      <c r="F31" s="112">
        <f t="shared" si="2"/>
        <v>175780.74</v>
      </c>
      <c r="G31" s="112">
        <f t="shared" si="2"/>
        <v>194446.45</v>
      </c>
      <c r="H31" s="112">
        <f t="shared" si="2"/>
        <v>177698.45</v>
      </c>
      <c r="I31" s="112">
        <f t="shared" si="1"/>
        <v>999120.62999999989</v>
      </c>
      <c r="J31" s="17"/>
      <c r="K31" s="17"/>
      <c r="L31" s="17"/>
      <c r="M31" s="17"/>
      <c r="N31" s="17"/>
      <c r="O31" s="17"/>
    </row>
    <row r="32" spans="2:15" x14ac:dyDescent="0.25">
      <c r="B32" s="110"/>
      <c r="C32" s="115"/>
      <c r="D32" s="115"/>
      <c r="E32" s="115"/>
      <c r="F32" s="115"/>
      <c r="G32" s="115"/>
      <c r="H32" s="115"/>
      <c r="I32" s="115"/>
      <c r="J32" s="16"/>
      <c r="K32" s="16"/>
      <c r="L32" s="16"/>
      <c r="M32" s="16"/>
      <c r="N32" s="16"/>
      <c r="O32" s="17"/>
    </row>
    <row r="33" spans="2:15" x14ac:dyDescent="0.25">
      <c r="B33" s="22" t="s">
        <v>24</v>
      </c>
      <c r="C33" s="111">
        <f t="shared" ref="C33:H33" si="3">C13-C31</f>
        <v>-107529.77999999998</v>
      </c>
      <c r="D33" s="111">
        <f t="shared" si="3"/>
        <v>-18334.510000000009</v>
      </c>
      <c r="E33" s="111">
        <f t="shared" si="3"/>
        <v>8604.3999999999942</v>
      </c>
      <c r="F33" s="111">
        <f t="shared" si="3"/>
        <v>6438.1600000000035</v>
      </c>
      <c r="G33" s="111">
        <f t="shared" si="3"/>
        <v>16930.75</v>
      </c>
      <c r="H33" s="111">
        <f t="shared" si="3"/>
        <v>6360.4499999999825</v>
      </c>
      <c r="I33" s="111">
        <f t="shared" si="1"/>
        <v>-87530.530000000013</v>
      </c>
      <c r="J33" s="16"/>
      <c r="K33" s="16"/>
      <c r="L33" s="16"/>
      <c r="M33" s="16"/>
      <c r="N33" s="16"/>
      <c r="O33" s="17"/>
    </row>
    <row r="34" spans="2:15" x14ac:dyDescent="0.25">
      <c r="B34" s="110"/>
      <c r="C34" s="115"/>
      <c r="D34" s="115"/>
      <c r="E34" s="115"/>
      <c r="F34" s="115"/>
      <c r="G34" s="115"/>
      <c r="H34" s="115"/>
      <c r="I34" s="115"/>
      <c r="J34" s="16"/>
      <c r="K34" s="16"/>
      <c r="L34" s="16"/>
      <c r="M34" s="16"/>
      <c r="N34" s="16"/>
      <c r="O34" s="17"/>
    </row>
    <row r="35" spans="2:15" x14ac:dyDescent="0.25">
      <c r="B35" s="10" t="s">
        <v>25</v>
      </c>
      <c r="C35" s="111">
        <f>'(HIDE) Data Validation'!D19</f>
        <v>100000</v>
      </c>
      <c r="D35" s="111">
        <f>C37</f>
        <v>-7529.7799999999843</v>
      </c>
      <c r="E35" s="111">
        <f>D37</f>
        <v>-25864.289999999994</v>
      </c>
      <c r="F35" s="111">
        <f>E37</f>
        <v>-17259.89</v>
      </c>
      <c r="G35" s="111">
        <f>F37</f>
        <v>-10821.729999999996</v>
      </c>
      <c r="H35" s="111">
        <f>G37</f>
        <v>6109.0200000000041</v>
      </c>
      <c r="I35" s="111">
        <f>C35</f>
        <v>100000</v>
      </c>
      <c r="J35" s="16"/>
      <c r="K35" s="16"/>
      <c r="L35" s="16"/>
      <c r="M35" s="16"/>
      <c r="N35" s="16"/>
      <c r="O35" s="17"/>
    </row>
    <row r="36" spans="2:15" x14ac:dyDescent="0.25">
      <c r="B36" s="110"/>
      <c r="C36" s="115"/>
      <c r="D36" s="115"/>
      <c r="E36" s="115"/>
      <c r="F36" s="115"/>
      <c r="G36" s="115"/>
      <c r="H36" s="115"/>
      <c r="I36" s="115"/>
      <c r="J36" s="16"/>
      <c r="K36" s="16"/>
      <c r="L36" s="16"/>
      <c r="M36" s="16"/>
      <c r="N36" s="16"/>
      <c r="O36" s="17"/>
    </row>
    <row r="37" spans="2:15" x14ac:dyDescent="0.25">
      <c r="B37" s="23" t="s">
        <v>26</v>
      </c>
      <c r="C37" s="113">
        <f t="shared" ref="C37:H37" si="4">C35+C33</f>
        <v>-7529.7799999999843</v>
      </c>
      <c r="D37" s="113">
        <f t="shared" si="4"/>
        <v>-25864.289999999994</v>
      </c>
      <c r="E37" s="113">
        <f t="shared" si="4"/>
        <v>-17259.89</v>
      </c>
      <c r="F37" s="113">
        <f t="shared" si="4"/>
        <v>-10821.729999999996</v>
      </c>
      <c r="G37" s="113">
        <f t="shared" si="4"/>
        <v>6109.0200000000041</v>
      </c>
      <c r="H37" s="113">
        <f t="shared" si="4"/>
        <v>12469.469999999987</v>
      </c>
      <c r="I37" s="113">
        <f>H37</f>
        <v>12469.469999999987</v>
      </c>
      <c r="J37" s="16"/>
      <c r="K37" s="16"/>
      <c r="L37" s="16"/>
      <c r="M37" s="16"/>
      <c r="N37" s="16"/>
      <c r="O37" s="17"/>
    </row>
    <row r="38" spans="2:15" x14ac:dyDescent="0.25">
      <c r="B38" s="67" t="s">
        <v>441</v>
      </c>
      <c r="I38" s="68">
        <f>I35</f>
        <v>100000</v>
      </c>
    </row>
    <row r="39" spans="2:15" ht="26.25" x14ac:dyDescent="0.4">
      <c r="B39" s="369" t="str">
        <f>IF('(HIDE) Data Validation'!B26=0,"","YOU HAVE NOT YET RAISED ENOUGH CAPITAL. YOU STILL NEED $"&amp;TEXT('(HIDE) Data Validation'!B26,"#,##0;;@"))</f>
        <v>YOU HAVE NOT YET RAISED ENOUGH CAPITAL. YOU STILL NEED $275,865</v>
      </c>
      <c r="C39" s="369"/>
      <c r="D39" s="369"/>
      <c r="E39" s="369"/>
      <c r="F39" s="369"/>
      <c r="G39" s="369"/>
      <c r="H39" s="369"/>
      <c r="I39" s="369"/>
    </row>
  </sheetData>
  <sheetProtection algorithmName="SHA-512" hashValue="/Ftg+DKhKeagqQZ3aLc5f5vVENrQvV/7mku96gyHTrgafI2243iZe5LSuDgoe6xyyiNi9sUO18/rFMSrXARoEg==" saltValue="WVwzFMvMDz3ZzYkKe2idxw==" spinCount="100000" sheet="1" objects="1" scenarios="1" formatColumns="0" formatRows="0" selectLockedCells="1"/>
  <mergeCells count="5">
    <mergeCell ref="B4:H4"/>
    <mergeCell ref="B1:I1"/>
    <mergeCell ref="B2:I2"/>
    <mergeCell ref="B3:I3"/>
    <mergeCell ref="B39:I39"/>
  </mergeCells>
  <phoneticPr fontId="2" type="noConversion"/>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B1:P28"/>
  <sheetViews>
    <sheetView zoomScaleNormal="100" workbookViewId="0">
      <selection activeCell="B27" sqref="B27"/>
    </sheetView>
  </sheetViews>
  <sheetFormatPr defaultColWidth="8.85546875" defaultRowHeight="15" x14ac:dyDescent="0.25"/>
  <cols>
    <col min="1" max="2" width="8.85546875" style="1"/>
    <col min="3" max="3" width="11.28515625" style="1" customWidth="1"/>
    <col min="4" max="11" width="8.85546875" style="1"/>
    <col min="12" max="12" width="12.7109375" style="1" customWidth="1"/>
    <col min="13" max="16384" width="8.85546875" style="1"/>
  </cols>
  <sheetData>
    <row r="1" spans="2:12" ht="67.5" customHeight="1" x14ac:dyDescent="0.25"/>
    <row r="2" spans="2:12" ht="54.2" customHeight="1" x14ac:dyDescent="0.25">
      <c r="B2" s="342" t="str">
        <f>"It is now the 1st of July, and you have been operating "&amp;IF('Business Setup'!F3="","UNNAMED",'Business Setup'!F3)&amp;" for 6 months. You are now looking at diversifying your products to boost sales. To diversify products and boost sales growth, "&amp;IF('Business Setup'!F3="","UNNAMED",'Business Setup'!F3)&amp;" will start selling side dishes"</f>
        <v>It is now the 1st of July, and you have been operating UNNAMED for 6 months. You are now looking at diversifying your products to boost sales. To diversify products and boost sales growth, UNNAMED will start selling side dishes</v>
      </c>
      <c r="C2" s="342"/>
      <c r="D2" s="342"/>
      <c r="E2" s="342"/>
      <c r="F2" s="342"/>
      <c r="G2" s="342"/>
      <c r="H2" s="342"/>
      <c r="I2" s="342"/>
      <c r="J2" s="342"/>
      <c r="K2" s="342"/>
      <c r="L2" s="342"/>
    </row>
    <row r="3" spans="2:12" x14ac:dyDescent="0.25">
      <c r="B3" s="298" t="s">
        <v>174</v>
      </c>
    </row>
    <row r="5" spans="2:12" ht="14.85" customHeight="1" x14ac:dyDescent="0.25">
      <c r="E5" s="352" t="s">
        <v>177</v>
      </c>
      <c r="F5" s="352"/>
      <c r="G5" s="352"/>
      <c r="H5" s="352"/>
      <c r="I5" s="352"/>
      <c r="J5" s="352"/>
      <c r="K5" s="352"/>
      <c r="L5" s="352"/>
    </row>
    <row r="6" spans="2:12" x14ac:dyDescent="0.25">
      <c r="E6" s="371" t="str">
        <f>"Cost per serve (including preparation and packaging)= $"&amp;TEXT('(HIDE) Data Validation'!B37,"#,##0.#0;;@")</f>
        <v>Cost per serve (including preparation and packaging)= $1.40</v>
      </c>
      <c r="F6" s="371"/>
      <c r="G6" s="371"/>
      <c r="H6" s="371"/>
      <c r="I6" s="371"/>
      <c r="J6" s="371"/>
      <c r="K6" s="371"/>
      <c r="L6" s="371"/>
    </row>
    <row r="7" spans="2:12" x14ac:dyDescent="0.25">
      <c r="E7" s="14" t="str">
        <f>"Cost per deep fryer = $"&amp;TEXT('(HIDE) Data Validation'!B39,"#,##0;;@")&amp;". Deep fryers have a useful life of 10 years"</f>
        <v>Cost per deep fryer = $4,000. Deep fryers have a useful life of 10 years</v>
      </c>
      <c r="F7" s="14"/>
      <c r="G7" s="14"/>
      <c r="H7" s="14"/>
      <c r="I7" s="14"/>
      <c r="J7" s="14"/>
      <c r="K7" s="14"/>
      <c r="L7" s="14"/>
    </row>
    <row r="8" spans="2:12" ht="14.85" customHeight="1" x14ac:dyDescent="0.25">
      <c r="E8" s="352" t="str">
        <f>"Monthly production capacity per deep fryer = "&amp;TEXT('(HIDE) Data Validation'!B40,"#,##0;;@")&amp;" per month"</f>
        <v>Monthly production capacity per deep fryer = 10,000 per month</v>
      </c>
      <c r="F8" s="352"/>
      <c r="G8" s="352"/>
      <c r="H8" s="352"/>
      <c r="I8" s="352"/>
      <c r="J8" s="352"/>
      <c r="K8" s="352"/>
      <c r="L8" s="352"/>
    </row>
    <row r="9" spans="2:12" ht="14.85" customHeight="1" x14ac:dyDescent="0.25">
      <c r="E9" s="14" t="s">
        <v>448</v>
      </c>
      <c r="F9" s="14"/>
      <c r="G9" s="14"/>
      <c r="H9" s="14"/>
      <c r="I9" s="14"/>
      <c r="J9" s="14"/>
      <c r="K9" s="14"/>
      <c r="L9" s="14"/>
    </row>
    <row r="10" spans="2:12" x14ac:dyDescent="0.25">
      <c r="E10" s="352"/>
      <c r="F10" s="352"/>
      <c r="G10" s="352"/>
      <c r="H10" s="352"/>
      <c r="I10" s="352"/>
      <c r="J10" s="352"/>
      <c r="K10" s="352"/>
      <c r="L10" s="352"/>
    </row>
    <row r="11" spans="2:12" ht="14.85" customHeight="1" x14ac:dyDescent="0.25">
      <c r="E11" s="370" t="s">
        <v>183</v>
      </c>
      <c r="F11" s="370"/>
      <c r="G11" s="370"/>
      <c r="H11" s="370"/>
      <c r="I11" s="370"/>
      <c r="J11" s="370"/>
      <c r="K11" s="370"/>
      <c r="L11" s="370"/>
    </row>
    <row r="12" spans="2:12" x14ac:dyDescent="0.25">
      <c r="E12" s="370"/>
      <c r="F12" s="370"/>
      <c r="G12" s="370"/>
      <c r="H12" s="370"/>
      <c r="I12" s="370"/>
      <c r="J12" s="370"/>
      <c r="K12" s="370"/>
      <c r="L12" s="370"/>
    </row>
    <row r="13" spans="2:12" x14ac:dyDescent="0.25">
      <c r="E13" s="370"/>
      <c r="F13" s="370"/>
      <c r="G13" s="370"/>
      <c r="H13" s="370"/>
      <c r="I13" s="370"/>
      <c r="J13" s="370"/>
      <c r="K13" s="370"/>
      <c r="L13" s="370"/>
    </row>
    <row r="14" spans="2:12" x14ac:dyDescent="0.25">
      <c r="E14" s="352" t="str">
        <f>"Cost per serve (including preparation and packaging)= $"&amp;'(HIDE) Data Validation'!C37&amp;".00"</f>
        <v>Cost per serve (including preparation and packaging)= $2.00</v>
      </c>
      <c r="F14" s="352"/>
      <c r="G14" s="352"/>
      <c r="H14" s="352"/>
      <c r="I14" s="352"/>
      <c r="J14" s="352"/>
      <c r="K14" s="352"/>
      <c r="L14" s="9"/>
    </row>
    <row r="16" spans="2:12" x14ac:dyDescent="0.25">
      <c r="E16" s="342" t="s">
        <v>182</v>
      </c>
      <c r="F16" s="342"/>
      <c r="G16" s="342"/>
      <c r="H16" s="342"/>
      <c r="I16" s="342"/>
      <c r="J16" s="342"/>
      <c r="K16" s="342"/>
      <c r="L16" s="342"/>
    </row>
    <row r="17" spans="2:16" x14ac:dyDescent="0.25">
      <c r="E17" s="342"/>
      <c r="F17" s="342"/>
      <c r="G17" s="342"/>
      <c r="H17" s="342"/>
      <c r="I17" s="342"/>
      <c r="J17" s="342"/>
      <c r="K17" s="342"/>
      <c r="L17" s="342"/>
    </row>
    <row r="18" spans="2:16" x14ac:dyDescent="0.25">
      <c r="E18" s="371" t="str">
        <f>"Cost per serve (including preparation and packaging)= $"&amp;TEXT('(HIDE) Data Validation'!D37,"#,##0.#0;;@")</f>
        <v>Cost per serve (including preparation and packaging)= $1.20</v>
      </c>
      <c r="F18" s="371"/>
      <c r="G18" s="371"/>
      <c r="H18" s="371"/>
      <c r="I18" s="371"/>
      <c r="J18" s="371"/>
      <c r="K18" s="371"/>
      <c r="L18" s="371"/>
    </row>
    <row r="19" spans="2:16" x14ac:dyDescent="0.25">
      <c r="E19" s="14" t="str">
        <f>"Cost per conveyer oven = $"&amp;'(HIDE) Data Validation'!D39&amp;". Conveyor Ovens have a useful life of 10 years"</f>
        <v>Cost per conveyer oven = $600. Conveyor Ovens have a useful life of 10 years</v>
      </c>
      <c r="F19" s="14"/>
      <c r="G19" s="14"/>
      <c r="H19" s="14"/>
      <c r="I19" s="14"/>
      <c r="J19" s="14"/>
      <c r="K19" s="14"/>
      <c r="L19" s="14"/>
    </row>
    <row r="20" spans="2:16" x14ac:dyDescent="0.25">
      <c r="E20" s="352" t="str">
        <f>"Monthly production capacity per conveyer oven = "&amp;TEXT('(HIDE) Data Validation'!D40,"#,##0;;@")&amp;" per month"</f>
        <v>Monthly production capacity per conveyer oven = 4,000 per month</v>
      </c>
      <c r="F20" s="352"/>
      <c r="G20" s="352"/>
      <c r="H20" s="352"/>
      <c r="I20" s="352"/>
      <c r="J20" s="352"/>
      <c r="K20" s="352"/>
      <c r="L20" s="352"/>
    </row>
    <row r="21" spans="2:16" x14ac:dyDescent="0.25">
      <c r="E21" s="1" t="s">
        <v>449</v>
      </c>
    </row>
    <row r="24" spans="2:16" x14ac:dyDescent="0.25">
      <c r="B24" s="1" t="str">
        <f>"How much will you charge for each serve of "&amp;'(HIDE) Data Validation'!B42&amp;"? A cheaper price will result in higher sales (Choose a value between $3.00 - $8.00) "</f>
        <v xml:space="preserve">How much will you charge for each serve of Hot Chips? A cheaper price will result in higher sales (Choose a value between $3.00 - $8.00) </v>
      </c>
      <c r="P24" s="46" t="s">
        <v>311</v>
      </c>
    </row>
    <row r="25" spans="2:16" ht="8.25" customHeight="1" thickBot="1" x14ac:dyDescent="0.3"/>
    <row r="26" spans="2:16" ht="15.75" thickBot="1" x14ac:dyDescent="0.3">
      <c r="B26" s="152">
        <f>'(HIDE) Data Validation'!D43</f>
        <v>4</v>
      </c>
      <c r="G26" s="1" t="str">
        <f>"It is estimated that "&amp;'(HIDE) Data Validation'!D46&amp;"% of customers will buy "&amp;'(HIDE) Data Validation'!B42</f>
        <v>It is estimated that 50.73% of customers will buy Hot Chips</v>
      </c>
    </row>
    <row r="27" spans="2:16" x14ac:dyDescent="0.25">
      <c r="B27" s="293"/>
      <c r="C27" s="296" t="s">
        <v>715</v>
      </c>
    </row>
    <row r="28" spans="2:16" x14ac:dyDescent="0.25">
      <c r="B28" s="1" t="str">
        <f>"Extra employees will be automatically hired as necessary and will be paid at the earlier set hourly rate of $"&amp;'(HIDE) Data Validation'!K3&amp;"/hr"</f>
        <v>Extra employees will be automatically hired as necessary and will be paid at the earlier set hourly rate of $32/hr</v>
      </c>
    </row>
  </sheetData>
  <sheetProtection algorithmName="SHA-512" hashValue="EOBihz11+RiJITxcUgAge3CGgD7fsyiecw+/pn9BhmEkqrIwLPyqDvRsziw/nRNBQTvp0r0nUhUjQ4r5+ld0fQ==" saltValue="qqFEPw3ACFWkXeYRZgd/+A==" spinCount="100000" sheet="1" objects="1" scenarios="1" formatColumns="0" formatRows="0" selectLockedCells="1"/>
  <mergeCells count="10">
    <mergeCell ref="B2:L2"/>
    <mergeCell ref="E18:L18"/>
    <mergeCell ref="E5:L5"/>
    <mergeCell ref="E6:L6"/>
    <mergeCell ref="E10:L10"/>
    <mergeCell ref="E20:L20"/>
    <mergeCell ref="E11:L13"/>
    <mergeCell ref="E14:K14"/>
    <mergeCell ref="E16:L17"/>
    <mergeCell ref="E8:L8"/>
  </mergeCells>
  <dataValidations count="1">
    <dataValidation type="decimal" allowBlank="1" showErrorMessage="1" error="Only numbers between $3.00 and $8.00 allowed" sqref="B27" xr:uid="{00000000-0002-0000-0800-000000000000}">
      <formula1>3</formula1>
      <formula2>8</formula2>
    </dataValidation>
  </dataValidations>
  <pageMargins left="0.7" right="0.7" top="0.75" bottom="0.75" header="0.3" footer="0.3"/>
  <pageSetup paperSize="9" orientation="portrait" horizontalDpi="0" verticalDpi="0" r:id="rId1"/>
  <cellWatches>
    <cellWatch r="A1"/>
  </cellWatche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Group Box 1">
              <controlPr defaultSize="0" autoFill="0" autoPict="0">
                <anchor moveWithCells="1">
                  <from>
                    <xdr:col>1</xdr:col>
                    <xdr:colOff>485775</xdr:colOff>
                    <xdr:row>3</xdr:row>
                    <xdr:rowOff>66675</xdr:rowOff>
                  </from>
                  <to>
                    <xdr:col>12</xdr:col>
                    <xdr:colOff>152400</xdr:colOff>
                    <xdr:row>22</xdr:row>
                    <xdr:rowOff>9525</xdr:rowOff>
                  </to>
                </anchor>
              </controlPr>
            </control>
          </mc:Choice>
        </mc:AlternateContent>
        <mc:AlternateContent xmlns:mc="http://schemas.openxmlformats.org/markup-compatibility/2006">
          <mc:Choice Requires="x14">
            <control shapeId="24578" r:id="rId5" name="Option Button 2">
              <controlPr defaultSize="0" autoFill="0" autoLine="0" autoPict="0">
                <anchor moveWithCells="1">
                  <from>
                    <xdr:col>2</xdr:col>
                    <xdr:colOff>57150</xdr:colOff>
                    <xdr:row>3</xdr:row>
                    <xdr:rowOff>180975</xdr:rowOff>
                  </from>
                  <to>
                    <xdr:col>3</xdr:col>
                    <xdr:colOff>133350</xdr:colOff>
                    <xdr:row>5</xdr:row>
                    <xdr:rowOff>28575</xdr:rowOff>
                  </to>
                </anchor>
              </controlPr>
            </control>
          </mc:Choice>
        </mc:AlternateContent>
        <mc:AlternateContent xmlns:mc="http://schemas.openxmlformats.org/markup-compatibility/2006">
          <mc:Choice Requires="x14">
            <control shapeId="24580" r:id="rId6" name="Option Button 4">
              <controlPr defaultSize="0" autoFill="0" autoLine="0" autoPict="0">
                <anchor moveWithCells="1">
                  <from>
                    <xdr:col>2</xdr:col>
                    <xdr:colOff>57150</xdr:colOff>
                    <xdr:row>9</xdr:row>
                    <xdr:rowOff>180975</xdr:rowOff>
                  </from>
                  <to>
                    <xdr:col>3</xdr:col>
                    <xdr:colOff>133350</xdr:colOff>
                    <xdr:row>11</xdr:row>
                    <xdr:rowOff>28575</xdr:rowOff>
                  </to>
                </anchor>
              </controlPr>
            </control>
          </mc:Choice>
        </mc:AlternateContent>
        <mc:AlternateContent xmlns:mc="http://schemas.openxmlformats.org/markup-compatibility/2006">
          <mc:Choice Requires="x14">
            <control shapeId="24581" r:id="rId7" name="Option Button 5">
              <controlPr defaultSize="0" autoFill="0" autoLine="0" autoPict="0">
                <anchor moveWithCells="1">
                  <from>
                    <xdr:col>2</xdr:col>
                    <xdr:colOff>57150</xdr:colOff>
                    <xdr:row>14</xdr:row>
                    <xdr:rowOff>180975</xdr:rowOff>
                  </from>
                  <to>
                    <xdr:col>3</xdr:col>
                    <xdr:colOff>133350</xdr:colOff>
                    <xdr:row>16</xdr:row>
                    <xdr:rowOff>28575</xdr:rowOff>
                  </to>
                </anchor>
              </controlPr>
            </control>
          </mc:Choice>
        </mc:AlternateContent>
        <mc:AlternateContent xmlns:mc="http://schemas.openxmlformats.org/markup-compatibility/2006">
          <mc:Choice Requires="x14">
            <control shapeId="24582" r:id="rId8" name="Scroll Bar 6">
              <controlPr defaultSize="0" autoPict="0">
                <anchor moveWithCells="1">
                  <from>
                    <xdr:col>2</xdr:col>
                    <xdr:colOff>95250</xdr:colOff>
                    <xdr:row>25</xdr:row>
                    <xdr:rowOff>9525</xdr:rowOff>
                  </from>
                  <to>
                    <xdr:col>5</xdr:col>
                    <xdr:colOff>314325</xdr:colOff>
                    <xdr:row>25</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1ABFB25EE934439F574BC264F0B8E6" ma:contentTypeVersion="14" ma:contentTypeDescription="Create a new document." ma:contentTypeScope="" ma:versionID="04e54faa07b3fce082a0d488be3c9c0c">
  <xsd:schema xmlns:xsd="http://www.w3.org/2001/XMLSchema" xmlns:xs="http://www.w3.org/2001/XMLSchema" xmlns:p="http://schemas.microsoft.com/office/2006/metadata/properties" xmlns:ns3="5053a65b-a790-45aa-b23d-3e4902a85933" xmlns:ns4="6b707ee7-774c-4141-8c69-3f50efb0eaa0" targetNamespace="http://schemas.microsoft.com/office/2006/metadata/properties" ma:root="true" ma:fieldsID="77a3edcb8d83a982b64f3e449dcc5f8c" ns3:_="" ns4:_="">
    <xsd:import namespace="5053a65b-a790-45aa-b23d-3e4902a85933"/>
    <xsd:import namespace="6b707ee7-774c-4141-8c69-3f50efb0eaa0"/>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53a65b-a790-45aa-b23d-3e4902a859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_activity" ma:index="21"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707ee7-774c-4141-8c69-3f50efb0eaa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053a65b-a790-45aa-b23d-3e4902a8593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4882DF-B92F-4912-81AC-9D02861493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53a65b-a790-45aa-b23d-3e4902a85933"/>
    <ds:schemaRef ds:uri="6b707ee7-774c-4141-8c69-3f50efb0e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622BEF-19D7-491E-8178-D4903E3EFEBF}">
  <ds:schemaRefs>
    <ds:schemaRef ds:uri="http://purl.org/dc/terms/"/>
    <ds:schemaRef ds:uri="http://schemas.microsoft.com/office/infopath/2007/PartnerControls"/>
    <ds:schemaRef ds:uri="http://schemas.microsoft.com/office/2006/documentManagement/types"/>
    <ds:schemaRef ds:uri="6b707ee7-774c-4141-8c69-3f50efb0eaa0"/>
    <ds:schemaRef ds:uri="http://purl.org/dc/elements/1.1/"/>
    <ds:schemaRef ds:uri="http://schemas.microsoft.com/office/2006/metadata/properties"/>
    <ds:schemaRef ds:uri="http://schemas.openxmlformats.org/package/2006/metadata/core-properties"/>
    <ds:schemaRef ds:uri="5053a65b-a790-45aa-b23d-3e4902a85933"/>
    <ds:schemaRef ds:uri="http://www.w3.org/XML/1998/namespace"/>
    <ds:schemaRef ds:uri="http://purl.org/dc/dcmitype/"/>
  </ds:schemaRefs>
</ds:datastoreItem>
</file>

<file path=customXml/itemProps3.xml><?xml version="1.0" encoding="utf-8"?>
<ds:datastoreItem xmlns:ds="http://schemas.openxmlformats.org/officeDocument/2006/customXml" ds:itemID="{F3D5E10D-C3E5-4BF5-9ADA-42DB46988B2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14</vt:i4>
      </vt:variant>
    </vt:vector>
  </HeadingPairs>
  <TitlesOfParts>
    <vt:vector size="47" baseType="lpstr">
      <vt:lpstr>Student Details I</vt:lpstr>
      <vt:lpstr>Student Details II</vt:lpstr>
      <vt:lpstr>Business Setup</vt:lpstr>
      <vt:lpstr>Business Decisions</vt:lpstr>
      <vt:lpstr>Advertising</vt:lpstr>
      <vt:lpstr>Capital Investments</vt:lpstr>
      <vt:lpstr>Financing</vt:lpstr>
      <vt:lpstr>2019 6-mth Cash Budget</vt:lpstr>
      <vt:lpstr>Diversification</vt:lpstr>
      <vt:lpstr>2019 Sales Data</vt:lpstr>
      <vt:lpstr>2019 Schedule of AC</vt:lpstr>
      <vt:lpstr>2019 Full Cash Budget</vt:lpstr>
      <vt:lpstr>2019 Inventory Rpt</vt:lpstr>
      <vt:lpstr>2019 Inc Statement</vt:lpstr>
      <vt:lpstr>2019 Bal Sheet</vt:lpstr>
      <vt:lpstr>2019 Ratio Analysis</vt:lpstr>
      <vt:lpstr>2020 6mth Forecast</vt:lpstr>
      <vt:lpstr>COVID-19</vt:lpstr>
      <vt:lpstr>Deliveries</vt:lpstr>
      <vt:lpstr>Take Away</vt:lpstr>
      <vt:lpstr>Employment</vt:lpstr>
      <vt:lpstr>2020 6mth Cash Budget</vt:lpstr>
      <vt:lpstr>2020 6mth Inventory Rpt</vt:lpstr>
      <vt:lpstr>Easing Restrictions</vt:lpstr>
      <vt:lpstr>2020 Sales</vt:lpstr>
      <vt:lpstr>2020 Schedule of AC</vt:lpstr>
      <vt:lpstr>2020 Cash Budget</vt:lpstr>
      <vt:lpstr>2020 Inventory Rpt</vt:lpstr>
      <vt:lpstr>2020 Inc Statement</vt:lpstr>
      <vt:lpstr>2020 Bal Sheet</vt:lpstr>
      <vt:lpstr>2020 Ratio Analysis</vt:lpstr>
      <vt:lpstr>Ratio Student Answers</vt:lpstr>
      <vt:lpstr>(HIDE) Data Validation</vt:lpstr>
      <vt:lpstr>_</vt:lpstr>
      <vt:lpstr>a</vt:lpstr>
      <vt:lpstr>b</vt:lpstr>
      <vt:lpstr>d</vt:lpstr>
      <vt:lpstr>e</vt:lpstr>
      <vt:lpstr>f</vt:lpstr>
      <vt:lpstr>g</vt:lpstr>
      <vt:lpstr>h</vt:lpstr>
      <vt:lpstr>i</vt:lpstr>
      <vt:lpstr>j</vt:lpstr>
      <vt:lpstr>k</vt:lpstr>
      <vt:lpstr>l</vt:lpstr>
      <vt:lpstr>m</vt:lpstr>
      <vt:lpstr>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Wahseem Soobratty</dc:creator>
  <cp:lastModifiedBy>Mathew Yeoh</cp:lastModifiedBy>
  <dcterms:created xsi:type="dcterms:W3CDTF">2020-03-30T01:25:59Z</dcterms:created>
  <dcterms:modified xsi:type="dcterms:W3CDTF">2024-06-05T14:27:52Z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0x010100CD1ABFB25EE934439F574BC264F0B8E6</vt:lpwstr>
  </property>
</Properties>
</file>